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Availability" sheetId="1" r:id="rId4"/>
    <sheet state="visible" name="Gomchi" sheetId="2" r:id="rId5"/>
    <sheet state="visible" name="KHD" sheetId="3" r:id="rId6"/>
    <sheet state="visible" name="Mongrapal" sheetId="4" r:id="rId7"/>
    <sheet state="visible" name="Godhi" sheetId="5" r:id="rId8"/>
    <sheet state="visible" name="Booking Status" sheetId="6" r:id="rId9"/>
    <sheet state="visible" name="Master Booking Sheet" sheetId="7" r:id="rId10"/>
    <sheet state="hidden" name="Sheet9" sheetId="8" r:id="rId11"/>
    <sheet state="visible" name="Monthly Supply" sheetId="9" r:id="rId12"/>
  </sheets>
  <definedNames/>
  <calcPr/>
</workbook>
</file>

<file path=xl/sharedStrings.xml><?xml version="1.0" encoding="utf-8"?>
<sst xmlns="http://schemas.openxmlformats.org/spreadsheetml/2006/main" count="278" uniqueCount="134">
  <si>
    <t>Sr.</t>
  </si>
  <si>
    <t>Crop</t>
  </si>
  <si>
    <t>Variety</t>
  </si>
  <si>
    <t>Propagation Type</t>
  </si>
  <si>
    <t>Scion + Rootstock</t>
  </si>
  <si>
    <t>Gomchi</t>
  </si>
  <si>
    <t>Kohadia</t>
  </si>
  <si>
    <t>Godhi</t>
  </si>
  <si>
    <t>Mongrapal</t>
  </si>
  <si>
    <t>Total Available</t>
  </si>
  <si>
    <t xml:space="preserve">01-May to 15 - May </t>
  </si>
  <si>
    <t xml:space="preserve">16 -May to 31- May </t>
  </si>
  <si>
    <t xml:space="preserve">01- Jun to  15 Jun </t>
  </si>
  <si>
    <t xml:space="preserve">16- Jun to  30 Jun </t>
  </si>
  <si>
    <t>01 - Jul to 15 Jul</t>
  </si>
  <si>
    <t>16 - Jul to 31 Jul</t>
  </si>
  <si>
    <t>Unhealthy Plants</t>
  </si>
  <si>
    <t>Booked plants</t>
  </si>
  <si>
    <t>Available for Retail Sale</t>
  </si>
  <si>
    <t>Almond</t>
  </si>
  <si>
    <t>VNR 141</t>
  </si>
  <si>
    <t>Grafted</t>
  </si>
  <si>
    <t>Almond 141 + Almond</t>
  </si>
  <si>
    <t>Aonla</t>
  </si>
  <si>
    <t>Krishna</t>
  </si>
  <si>
    <t>Krishna + RS Aonla</t>
  </si>
  <si>
    <t>Bael</t>
  </si>
  <si>
    <t>B-1 CISH</t>
  </si>
  <si>
    <t>Bael B-1 CISH + Bael</t>
  </si>
  <si>
    <t>Gomayashi</t>
  </si>
  <si>
    <t>Bael Gomayashi + Bael</t>
  </si>
  <si>
    <t>NB-7</t>
  </si>
  <si>
    <t>Bael NB-7 + Bael</t>
  </si>
  <si>
    <t>NB-9</t>
  </si>
  <si>
    <t>Bael NB-9 + Bael</t>
  </si>
  <si>
    <t>Ber</t>
  </si>
  <si>
    <t>Apple</t>
  </si>
  <si>
    <t>Apple Ber + Ber</t>
  </si>
  <si>
    <t>Curry Leaf</t>
  </si>
  <si>
    <t>DWD-2</t>
  </si>
  <si>
    <t>Cutting</t>
  </si>
  <si>
    <t>-</t>
  </si>
  <si>
    <t>Dragon Fruit</t>
  </si>
  <si>
    <t>Red</t>
  </si>
  <si>
    <t>White</t>
  </si>
  <si>
    <t>Drum Stick</t>
  </si>
  <si>
    <t>VNR Moringa</t>
  </si>
  <si>
    <t>Fig</t>
  </si>
  <si>
    <t>Deanna</t>
  </si>
  <si>
    <t>Excel</t>
  </si>
  <si>
    <t>Daulatabad</t>
  </si>
  <si>
    <t>Grapefruit</t>
  </si>
  <si>
    <t>VNR Lali</t>
  </si>
  <si>
    <t>VNR Lali + KK</t>
  </si>
  <si>
    <t>Guava</t>
  </si>
  <si>
    <t>VNR Bihi</t>
  </si>
  <si>
    <t>VNR BIHI + Guava</t>
  </si>
  <si>
    <t>VNR Carmine</t>
  </si>
  <si>
    <t>VNR Carmine + Guava</t>
  </si>
  <si>
    <t>Jackfruit</t>
  </si>
  <si>
    <t>VNR - 1</t>
  </si>
  <si>
    <t>VNR Kathal + Jackfruit</t>
  </si>
  <si>
    <t>VNR Jack - E</t>
  </si>
  <si>
    <t>Budded</t>
  </si>
  <si>
    <t>Jack-E + Jackfruit</t>
  </si>
  <si>
    <t>Jamun</t>
  </si>
  <si>
    <t>Gomapriyanka</t>
  </si>
  <si>
    <t>Goma Priyanka + Jamun</t>
  </si>
  <si>
    <t>Bahadoli</t>
  </si>
  <si>
    <t>Badholi + Jamun</t>
  </si>
  <si>
    <t>Kamrakh</t>
  </si>
  <si>
    <t>VNR Naval</t>
  </si>
  <si>
    <t>VNR Naval + Kamrakh</t>
  </si>
  <si>
    <t>Chakulia</t>
  </si>
  <si>
    <t>Karonda</t>
  </si>
  <si>
    <t>Seedling</t>
  </si>
  <si>
    <t>Americana</t>
  </si>
  <si>
    <t>Kinnow</t>
  </si>
  <si>
    <t>Mandarin</t>
  </si>
  <si>
    <t>Kinnow Mandarin + NC</t>
  </si>
  <si>
    <t>Lemon</t>
  </si>
  <si>
    <t>Konkan</t>
  </si>
  <si>
    <t>Konkan Lemon + JB</t>
  </si>
  <si>
    <t>VNR Sharbati</t>
  </si>
  <si>
    <t>Sharbati + JB</t>
  </si>
  <si>
    <t>VNR Mahesh</t>
  </si>
  <si>
    <t>Lime</t>
  </si>
  <si>
    <t>VNR Parvati</t>
  </si>
  <si>
    <t>Balaji</t>
  </si>
  <si>
    <t>VNR Rasvanti</t>
  </si>
  <si>
    <t>VNR-1</t>
  </si>
  <si>
    <t>VNR Sameer</t>
  </si>
  <si>
    <t>Mosambi</t>
  </si>
  <si>
    <t>Katol Gold</t>
  </si>
  <si>
    <t>Katol Gold + JB</t>
  </si>
  <si>
    <t>Nucellar</t>
  </si>
  <si>
    <t>Nuceller + KK</t>
  </si>
  <si>
    <t>Mulberry</t>
  </si>
  <si>
    <t>Long Purple</t>
  </si>
  <si>
    <t>Pumello</t>
  </si>
  <si>
    <t>VNR Amber</t>
  </si>
  <si>
    <t>VNR Crystal</t>
  </si>
  <si>
    <t>VNR Crystal + NC</t>
  </si>
  <si>
    <t>Sitaphal</t>
  </si>
  <si>
    <t>VNR Madhur</t>
  </si>
  <si>
    <t>VNR Madhur + BN</t>
  </si>
  <si>
    <t>Lakhsmanphal</t>
  </si>
  <si>
    <t>VNR Uttam</t>
  </si>
  <si>
    <t>VNR Uttam + BN</t>
  </si>
  <si>
    <t>Wax Apple</t>
  </si>
  <si>
    <t>VNR Maroon</t>
  </si>
  <si>
    <t>Airlayering</t>
  </si>
  <si>
    <t>Months</t>
  </si>
  <si>
    <t>KHD</t>
  </si>
  <si>
    <t>Grafting</t>
  </si>
  <si>
    <t>Success</t>
  </si>
  <si>
    <t xml:space="preserve">November </t>
  </si>
  <si>
    <t>December</t>
  </si>
  <si>
    <t>January</t>
  </si>
  <si>
    <t>February</t>
  </si>
  <si>
    <t>March</t>
  </si>
  <si>
    <t>April</t>
  </si>
  <si>
    <t>Month</t>
  </si>
  <si>
    <t>NOP</t>
  </si>
  <si>
    <t>Total</t>
  </si>
  <si>
    <t>OIH</t>
  </si>
  <si>
    <t>Booking can be taken</t>
  </si>
  <si>
    <t>Till March 2023</t>
  </si>
  <si>
    <t>All Locations Dispatch</t>
  </si>
  <si>
    <t>SNo</t>
  </si>
  <si>
    <t xml:space="preserve">Curry Leaf </t>
  </si>
  <si>
    <t xml:space="preserve">Grapefruit </t>
  </si>
  <si>
    <t xml:space="preserve">Guava </t>
  </si>
  <si>
    <t xml:space="preserve">Jackfruit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</si>
</sst>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 &quot;mmm&quot; &quot;yyyyyy"/>
    <numFmt numFmtId="165" formatCode="mmmm-d"/>
    <numFmt numFmtId="166" formatCode="mmm-d"/>
  </numFmts>
  <fonts count="21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/>
    <font>
      <b/>
      <sz val="10.0"/>
      <color rgb="FF000000"/>
      <name val="Calibri"/>
    </font>
    <font>
      <sz val="10.0"/>
      <color rgb="FF000000"/>
      <name val="Calibri"/>
    </font>
    <font>
      <i/>
      <u/>
      <sz val="10.0"/>
      <color rgb="FF000000"/>
      <name val="Calibri"/>
    </font>
    <font>
      <i/>
      <u/>
      <sz val="10.0"/>
      <color rgb="FF000000"/>
      <name val="Calibri"/>
    </font>
    <font>
      <color rgb="FF000000"/>
      <name val="Arial"/>
      <scheme val="minor"/>
    </font>
    <font>
      <b/>
      <color rgb="FF000000"/>
      <name val="Arial"/>
      <scheme val="minor"/>
    </font>
    <font>
      <b/>
      <color rgb="FF000000"/>
    </font>
    <font>
      <u/>
      <color rgb="FF0000FF"/>
    </font>
    <font>
      <b/>
      <u/>
      <color rgb="FF0000FF"/>
    </font>
    <font>
      <b/>
      <color theme="1"/>
    </font>
    <font>
      <b/>
      <sz val="12.0"/>
      <color rgb="FFAD1F1F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 readingOrder="0" vertical="center"/>
    </xf>
    <xf borderId="1" fillId="3" fontId="1" numFmtId="0" xfId="0" applyAlignment="1" applyBorder="1" applyFill="1" applyFont="1">
      <alignment horizontal="center" readingOrder="0" vertical="center"/>
    </xf>
    <xf borderId="1" fillId="4" fontId="1" numFmtId="0" xfId="0" applyAlignment="1" applyBorder="1" applyFill="1" applyFont="1">
      <alignment horizontal="center" readingOrder="0" vertical="center"/>
    </xf>
    <xf borderId="1" fillId="5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1" fillId="6" fontId="3" numFmtId="0" xfId="0" applyAlignment="1" applyBorder="1" applyFill="1" applyFont="1">
      <alignment horizontal="center" readingOrder="0"/>
    </xf>
    <xf borderId="1" fillId="6" fontId="3" numFmtId="0" xfId="0" applyAlignment="1" applyBorder="1" applyFont="1">
      <alignment horizontal="center" readingOrder="0"/>
    </xf>
    <xf borderId="1" fillId="6" fontId="5" numFmtId="0" xfId="0" applyAlignment="1" applyBorder="1" applyFont="1">
      <alignment horizontal="center" readingOrder="0"/>
    </xf>
    <xf borderId="1" fillId="7" fontId="6" numFmtId="0" xfId="0" applyAlignment="1" applyBorder="1" applyFill="1" applyFont="1">
      <alignment horizontal="center"/>
    </xf>
    <xf borderId="1" fillId="7" fontId="6" numFmtId="0" xfId="0" applyAlignment="1" applyBorder="1" applyFont="1">
      <alignment horizontal="center" readingOrder="0"/>
    </xf>
    <xf borderId="1" fillId="8" fontId="2" numFmtId="0" xfId="0" applyAlignment="1" applyBorder="1" applyFill="1" applyFont="1">
      <alignment horizontal="center" readingOrder="0"/>
    </xf>
    <xf borderId="1" fillId="9" fontId="2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/>
    </xf>
    <xf borderId="1" fillId="8" fontId="2" numFmtId="0" xfId="0" applyAlignment="1" applyBorder="1" applyFont="1">
      <alignment horizontal="center"/>
    </xf>
    <xf borderId="1" fillId="6" fontId="5" numFmtId="0" xfId="0" applyAlignment="1" applyBorder="1" applyFont="1">
      <alignment horizontal="center"/>
    </xf>
    <xf borderId="1" fillId="7" fontId="6" numFmtId="49" xfId="0" applyAlignment="1" applyBorder="1" applyFont="1" applyNumberFormat="1">
      <alignment horizontal="center"/>
    </xf>
    <xf borderId="1" fillId="8" fontId="2" numFmtId="49" xfId="0" applyAlignment="1" applyBorder="1" applyFont="1" applyNumberFormat="1">
      <alignment horizontal="center"/>
    </xf>
    <xf borderId="1" fillId="9" fontId="2" numFmtId="0" xfId="0" applyAlignment="1" applyBorder="1" applyFont="1">
      <alignment horizontal="center"/>
    </xf>
    <xf borderId="1" fillId="6" fontId="4" numFmtId="0" xfId="0" applyAlignment="1" applyBorder="1" applyFont="1">
      <alignment horizontal="center"/>
    </xf>
    <xf borderId="1" fillId="6" fontId="6" numFmtId="0" xfId="0" applyAlignment="1" applyBorder="1" applyFont="1">
      <alignment horizontal="center"/>
    </xf>
    <xf borderId="0" fillId="2" fontId="7" numFmtId="0" xfId="0" applyAlignment="1" applyFont="1">
      <alignment horizontal="center" vertical="center"/>
    </xf>
    <xf borderId="2" fillId="3" fontId="8" numFmtId="4" xfId="0" applyAlignment="1" applyBorder="1" applyFont="1" applyNumberFormat="1">
      <alignment horizontal="center" vertical="center"/>
    </xf>
    <xf borderId="3" fillId="0" fontId="9" numFmtId="0" xfId="0" applyBorder="1" applyFont="1"/>
    <xf borderId="4" fillId="0" fontId="9" numFmtId="0" xfId="0" applyBorder="1" applyFont="1"/>
    <xf borderId="1" fillId="3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" fillId="2" fontId="7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1" fillId="10" fontId="8" numFmtId="0" xfId="0" applyAlignment="1" applyBorder="1" applyFill="1" applyFont="1">
      <alignment horizontal="center"/>
    </xf>
    <xf borderId="1" fillId="10" fontId="11" numFmtId="0" xfId="0" applyAlignment="1" applyBorder="1" applyFont="1">
      <alignment horizontal="center"/>
    </xf>
    <xf borderId="1" fillId="11" fontId="8" numFmtId="0" xfId="0" applyAlignment="1" applyBorder="1" applyFill="1" applyFont="1">
      <alignment horizontal="center"/>
    </xf>
    <xf borderId="1" fillId="0" fontId="8" numFmtId="0" xfId="0" applyAlignment="1" applyBorder="1" applyFont="1">
      <alignment horizontal="center"/>
    </xf>
    <xf borderId="0" fillId="0" fontId="8" numFmtId="0" xfId="0" applyFont="1"/>
    <xf borderId="1" fillId="10" fontId="12" numFmtId="0" xfId="0" applyAlignment="1" applyBorder="1" applyFont="1">
      <alignment horizontal="center"/>
    </xf>
    <xf borderId="0" fillId="0" fontId="13" numFmtId="0" xfId="0" applyFont="1"/>
    <xf borderId="1" fillId="2" fontId="2" numFmtId="0" xfId="0" applyAlignment="1" applyBorder="1" applyFont="1">
      <alignment horizontal="center"/>
    </xf>
    <xf borderId="1" fillId="2" fontId="14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2" fillId="3" fontId="1" numFmtId="0" xfId="0" applyAlignment="1" applyBorder="1" applyFont="1">
      <alignment horizontal="center"/>
    </xf>
    <xf borderId="0" fillId="0" fontId="2" numFmtId="0" xfId="0" applyFont="1"/>
    <xf borderId="1" fillId="2" fontId="1" numFmtId="0" xfId="0" applyAlignment="1" applyBorder="1" applyFont="1">
      <alignment horizontal="center"/>
    </xf>
    <xf borderId="1" fillId="2" fontId="15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16" numFmtId="0" xfId="0" applyAlignment="1" applyBorder="1" applyFont="1">
      <alignment horizontal="center"/>
    </xf>
    <xf borderId="1" fillId="11" fontId="2" numFmtId="0" xfId="0" applyAlignment="1" applyBorder="1" applyFont="1">
      <alignment horizontal="center"/>
    </xf>
    <xf borderId="1" fillId="0" fontId="15" numFmtId="0" xfId="0" applyAlignment="1" applyBorder="1" applyFont="1">
      <alignment horizontal="center"/>
    </xf>
    <xf borderId="0" fillId="0" fontId="14" numFmtId="0" xfId="0" applyFont="1"/>
    <xf borderId="2" fillId="2" fontId="1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1" fillId="1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8" fontId="1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2" numFmtId="0" xfId="0" applyAlignment="1" applyBorder="1" applyFont="1">
      <alignment horizontal="center" vertical="center"/>
    </xf>
    <xf borderId="1" fillId="5" fontId="2" numFmtId="0" xfId="0" applyAlignment="1" applyBorder="1" applyFont="1">
      <alignment horizontal="center" vertical="center"/>
    </xf>
    <xf borderId="1" fillId="13" fontId="2" numFmtId="0" xfId="0" applyAlignment="1" applyBorder="1" applyFill="1" applyFont="1">
      <alignment horizontal="center" vertical="center"/>
    </xf>
    <xf borderId="1" fillId="12" fontId="2" numFmtId="0" xfId="0" applyAlignment="1" applyBorder="1" applyFont="1">
      <alignment horizontal="center" shrinkToFit="0" vertical="center" wrapText="1"/>
    </xf>
    <xf borderId="1" fillId="5" fontId="2" numFmtId="49" xfId="0" applyAlignment="1" applyBorder="1" applyFont="1" applyNumberFormat="1">
      <alignment horizontal="center" vertical="center"/>
    </xf>
    <xf borderId="1" fillId="13" fontId="2" numFmtId="4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49" xfId="0" applyAlignment="1" applyBorder="1" applyFont="1" applyNumberFormat="1">
      <alignment horizontal="center" vertic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1" fillId="14" fontId="18" numFmtId="0" xfId="0" applyAlignment="1" applyBorder="1" applyFill="1" applyFont="1">
      <alignment horizontal="center" shrinkToFit="0" vertical="center" wrapText="1"/>
    </xf>
    <xf borderId="1" fillId="14" fontId="1" numFmtId="0" xfId="0" applyAlignment="1" applyBorder="1" applyFont="1">
      <alignment horizontal="center" shrinkToFit="0" vertical="center" wrapText="1"/>
    </xf>
    <xf borderId="1" fillId="14" fontId="1" numFmtId="164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19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165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166" xfId="0" applyAlignment="1" applyBorder="1" applyFont="1" applyNumberFormat="1">
      <alignment horizontal="center" readingOrder="0"/>
    </xf>
    <xf borderId="1" fillId="15" fontId="20" numFmtId="0" xfId="0" applyAlignment="1" applyBorder="1" applyFill="1" applyFont="1">
      <alignment horizontal="center" readingOrder="0"/>
    </xf>
    <xf borderId="1" fillId="15" fontId="4" numFmtId="0" xfId="0" applyAlignment="1" applyBorder="1" applyFont="1">
      <alignment horizontal="center"/>
    </xf>
    <xf borderId="1" fillId="15" fontId="20" numFmtId="0" xfId="0" applyAlignment="1" applyBorder="1" applyFont="1">
      <alignment horizontal="center"/>
    </xf>
    <xf borderId="1" fillId="15" fontId="20" numFmtId="0" xfId="0" applyAlignment="1" applyBorder="1" applyFont="1">
      <alignment horizontal="center" readingOrder="0"/>
    </xf>
    <xf borderId="1" fillId="15" fontId="4" numFmtId="0" xfId="0" applyAlignment="1" applyBorder="1" applyFont="1">
      <alignment horizontal="center" readingOrder="0"/>
    </xf>
  </cellXfs>
  <cellStyles count="1">
    <cellStyle xfId="0" name="Normal" builtinId="0"/>
  </cellStyles>
  <dxfs count="2"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20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8" Type="http://schemas.openxmlformats.org/officeDocument/2006/relationships/drawing" Target="../drawings/drawing7.xml"/><Relationship Id="rId27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3.13"/>
    <col customWidth="1" min="2" max="2" width="18.13"/>
    <col customWidth="1" min="3" max="3" width="16.75"/>
    <col customWidth="1" min="4" max="4" width="16.38"/>
    <col customWidth="1" min="5" max="5" width="19.0"/>
    <col customWidth="1" min="7" max="7" width="11.63"/>
    <col customWidth="1" min="8" max="8" width="9.5"/>
    <col customWidth="1" min="9" max="9" width="9.75"/>
    <col customWidth="1" min="11" max="11" width="14.75"/>
    <col customWidth="1" min="12" max="13" width="16.0"/>
    <col customWidth="1" min="14" max="16" width="15.5"/>
    <col customWidth="1" min="17" max="17" width="14.38"/>
    <col customWidth="1" min="20" max="20" width="7.75"/>
  </cols>
  <sheetData>
    <row r="1">
      <c r="A1" s="1"/>
      <c r="B1" s="2"/>
      <c r="C1" s="3"/>
      <c r="K1" s="4"/>
      <c r="L1" s="4"/>
      <c r="M1" s="4"/>
      <c r="N1" s="4"/>
      <c r="O1" s="4"/>
      <c r="P1" s="4"/>
      <c r="Q1" s="4"/>
      <c r="R1" s="4"/>
      <c r="S1" s="4"/>
    </row>
    <row r="2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9" t="s">
        <v>16</v>
      </c>
      <c r="R2" s="10" t="s">
        <v>17</v>
      </c>
      <c r="S2" s="10" t="s">
        <v>18</v>
      </c>
      <c r="T2" s="3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>
      <c r="A3" s="12">
        <v>1.0</v>
      </c>
      <c r="B3" s="13" t="s">
        <v>19</v>
      </c>
      <c r="C3" s="12" t="s">
        <v>20</v>
      </c>
      <c r="D3" s="14" t="s">
        <v>21</v>
      </c>
      <c r="E3" s="14" t="s">
        <v>22</v>
      </c>
      <c r="F3" s="15">
        <f>Gomchi!J3</f>
        <v>44</v>
      </c>
      <c r="G3" s="16">
        <f>KHD!J3</f>
        <v>321</v>
      </c>
      <c r="H3" s="15">
        <f>Godhi!J3</f>
        <v>60</v>
      </c>
      <c r="I3" s="15"/>
      <c r="J3" s="15">
        <f t="shared" ref="J3:J17" si="1">SUM(F3:H3)</f>
        <v>425</v>
      </c>
      <c r="K3" s="17">
        <f>Gomchi!K3+KHD!K3+Godhi!K3</f>
        <v>396</v>
      </c>
      <c r="L3" s="17">
        <f>Gomchi!L3+KHD!L3+Godhi!L3</f>
        <v>29</v>
      </c>
      <c r="M3" s="17">
        <f>Gomchi!M3+KHD!M3+Godhi!M3</f>
        <v>0</v>
      </c>
      <c r="N3" s="17">
        <f>Gomchi!N3+KHD!N3+Godhi!N3</f>
        <v>0</v>
      </c>
      <c r="O3" s="17">
        <f>Gomchi!O3+KHD!O3+Godhi!O3</f>
        <v>0</v>
      </c>
      <c r="P3" s="17">
        <f>Gomchi!P3+KHD!P3+Godhi!P3</f>
        <v>0</v>
      </c>
      <c r="Q3" s="18">
        <f>Gomchi!Q3+KHD!Q3+Godhi!Q3</f>
        <v>0</v>
      </c>
      <c r="R3" s="19">
        <f>'Master Booking Sheet'!D3</f>
        <v>18</v>
      </c>
      <c r="S3" s="19">
        <f t="shared" ref="S3:S45" si="2">J3-Q3-R3</f>
        <v>407</v>
      </c>
    </row>
    <row r="4">
      <c r="A4" s="12">
        <v>2.0</v>
      </c>
      <c r="B4" s="13" t="s">
        <v>23</v>
      </c>
      <c r="C4" s="12" t="s">
        <v>24</v>
      </c>
      <c r="D4" s="14" t="s">
        <v>21</v>
      </c>
      <c r="E4" s="14" t="s">
        <v>25</v>
      </c>
      <c r="F4" s="15">
        <f>Gomchi!J4</f>
        <v>156</v>
      </c>
      <c r="G4" s="16">
        <f>KHD!J4</f>
        <v>173</v>
      </c>
      <c r="H4" s="15">
        <f>Godhi!J4</f>
        <v>30</v>
      </c>
      <c r="I4" s="15"/>
      <c r="J4" s="15">
        <f t="shared" si="1"/>
        <v>359</v>
      </c>
      <c r="K4" s="17">
        <f>Gomchi!K4+KHD!K4+Godhi!K4</f>
        <v>168</v>
      </c>
      <c r="L4" s="17">
        <f>Gomchi!L4+KHD!L4+Godhi!L4</f>
        <v>145</v>
      </c>
      <c r="M4" s="17">
        <f>Gomchi!M4+KHD!M4+Godhi!M4</f>
        <v>46</v>
      </c>
      <c r="N4" s="17">
        <f>Gomchi!N4+KHD!N4+Godhi!N4</f>
        <v>0</v>
      </c>
      <c r="O4" s="17">
        <f>Gomchi!O4+KHD!O4+Godhi!O4</f>
        <v>0</v>
      </c>
      <c r="P4" s="17">
        <f>Gomchi!P4+KHD!P4+Godhi!P4</f>
        <v>0</v>
      </c>
      <c r="Q4" s="18">
        <f>Gomchi!Q4+KHD!Q4+Godhi!Q4</f>
        <v>0</v>
      </c>
      <c r="R4" s="19">
        <f>'Master Booking Sheet'!D4</f>
        <v>74</v>
      </c>
      <c r="S4" s="19">
        <f t="shared" si="2"/>
        <v>285</v>
      </c>
    </row>
    <row r="5">
      <c r="A5" s="12">
        <v>3.0</v>
      </c>
      <c r="B5" s="13" t="s">
        <v>26</v>
      </c>
      <c r="C5" s="12" t="s">
        <v>27</v>
      </c>
      <c r="D5" s="14" t="s">
        <v>21</v>
      </c>
      <c r="E5" s="14" t="s">
        <v>28</v>
      </c>
      <c r="F5" s="15">
        <f>Gomchi!J5</f>
        <v>39</v>
      </c>
      <c r="G5" s="16">
        <f>KHD!J5</f>
        <v>18</v>
      </c>
      <c r="H5" s="15">
        <f>Godhi!J5</f>
        <v>155</v>
      </c>
      <c r="I5" s="15"/>
      <c r="J5" s="15">
        <f t="shared" si="1"/>
        <v>212</v>
      </c>
      <c r="K5" s="20">
        <f>Gomchi!K5+KHD!K5+Godhi!K5</f>
        <v>43</v>
      </c>
      <c r="L5" s="20">
        <f>Gomchi!L5+KHD!L5+Godhi!L5</f>
        <v>14</v>
      </c>
      <c r="M5" s="20">
        <f>Gomchi!M5+KHD!M5+Godhi!M5</f>
        <v>0</v>
      </c>
      <c r="N5" s="20">
        <f>Gomchi!N5+KHD!N5+Godhi!N5</f>
        <v>0</v>
      </c>
      <c r="O5" s="20">
        <f>Gomchi!O5+KHD!O5+Godhi!O5</f>
        <v>0</v>
      </c>
      <c r="P5" s="20">
        <f>Gomchi!P5+KHD!P5+Godhi!P5</f>
        <v>0</v>
      </c>
      <c r="Q5" s="18">
        <f>Gomchi!Q5+KHD!Q5+Godhi!Q5</f>
        <v>155</v>
      </c>
      <c r="R5" s="19">
        <f>'Master Booking Sheet'!D5</f>
        <v>0</v>
      </c>
      <c r="S5" s="19">
        <f t="shared" si="2"/>
        <v>57</v>
      </c>
    </row>
    <row r="6">
      <c r="A6" s="12">
        <v>4.0</v>
      </c>
      <c r="B6" s="13" t="s">
        <v>26</v>
      </c>
      <c r="C6" s="12" t="s">
        <v>29</v>
      </c>
      <c r="D6" s="14" t="s">
        <v>21</v>
      </c>
      <c r="E6" s="14" t="s">
        <v>30</v>
      </c>
      <c r="F6" s="15">
        <f>Gomchi!J6</f>
        <v>86</v>
      </c>
      <c r="G6" s="16">
        <f>KHD!J6</f>
        <v>1767</v>
      </c>
      <c r="H6" s="15">
        <f>Godhi!J6</f>
        <v>130</v>
      </c>
      <c r="I6" s="15"/>
      <c r="J6" s="15">
        <f t="shared" si="1"/>
        <v>1983</v>
      </c>
      <c r="K6" s="20">
        <f>Gomchi!K6+KHD!K6+Godhi!K6</f>
        <v>1067</v>
      </c>
      <c r="L6" s="20">
        <f>Gomchi!L6+KHD!L6+Godhi!L6</f>
        <v>576</v>
      </c>
      <c r="M6" s="20">
        <f>Gomchi!M6+KHD!M6+Godhi!M6</f>
        <v>290</v>
      </c>
      <c r="N6" s="20">
        <f>Gomchi!N6+KHD!N6+Godhi!N6</f>
        <v>0</v>
      </c>
      <c r="O6" s="20">
        <f>Gomchi!O6+KHD!O6+Godhi!O6</f>
        <v>0</v>
      </c>
      <c r="P6" s="20">
        <f>Gomchi!P6+KHD!P6+Godhi!P6</f>
        <v>0</v>
      </c>
      <c r="Q6" s="18">
        <f>Gomchi!Q6+KHD!Q6+Godhi!Q6</f>
        <v>50</v>
      </c>
      <c r="R6" s="19">
        <f>'Master Booking Sheet'!D6</f>
        <v>162</v>
      </c>
      <c r="S6" s="19">
        <f t="shared" si="2"/>
        <v>1771</v>
      </c>
    </row>
    <row r="7">
      <c r="A7" s="12">
        <v>5.0</v>
      </c>
      <c r="B7" s="13" t="s">
        <v>26</v>
      </c>
      <c r="C7" s="12" t="s">
        <v>31</v>
      </c>
      <c r="D7" s="14" t="s">
        <v>21</v>
      </c>
      <c r="E7" s="14" t="s">
        <v>32</v>
      </c>
      <c r="F7" s="15">
        <f>Gomchi!J7</f>
        <v>18</v>
      </c>
      <c r="G7" s="16">
        <f>KHD!J7</f>
        <v>48</v>
      </c>
      <c r="H7" s="15">
        <f>Godhi!J7</f>
        <v>37</v>
      </c>
      <c r="I7" s="15"/>
      <c r="J7" s="15">
        <f t="shared" si="1"/>
        <v>103</v>
      </c>
      <c r="K7" s="20">
        <f>Gomchi!K7+KHD!K7+Godhi!K7</f>
        <v>60</v>
      </c>
      <c r="L7" s="20">
        <f>Gomchi!L7+KHD!L7+Godhi!L7</f>
        <v>6</v>
      </c>
      <c r="M7" s="20">
        <f>Gomchi!M7+KHD!M7+Godhi!M7</f>
        <v>0</v>
      </c>
      <c r="N7" s="20">
        <f>Gomchi!N7+KHD!N7+Godhi!N7</f>
        <v>0</v>
      </c>
      <c r="O7" s="20">
        <f>Gomchi!O7+KHD!O7+Godhi!O7</f>
        <v>0</v>
      </c>
      <c r="P7" s="20">
        <f>Gomchi!P7+KHD!P7+Godhi!P7</f>
        <v>0</v>
      </c>
      <c r="Q7" s="18">
        <f>Gomchi!Q7+KHD!Q7+Godhi!Q7</f>
        <v>37</v>
      </c>
      <c r="R7" s="19">
        <f>'Master Booking Sheet'!D7</f>
        <v>0</v>
      </c>
      <c r="S7" s="19">
        <f t="shared" si="2"/>
        <v>66</v>
      </c>
    </row>
    <row r="8">
      <c r="A8" s="12">
        <v>6.0</v>
      </c>
      <c r="B8" s="13" t="s">
        <v>26</v>
      </c>
      <c r="C8" s="12" t="s">
        <v>33</v>
      </c>
      <c r="D8" s="14" t="s">
        <v>21</v>
      </c>
      <c r="E8" s="14" t="s">
        <v>34</v>
      </c>
      <c r="F8" s="15">
        <f>Gomchi!J8</f>
        <v>3</v>
      </c>
      <c r="G8" s="16">
        <f>KHD!J8</f>
        <v>7</v>
      </c>
      <c r="H8" s="15">
        <f>Godhi!J8</f>
        <v>0</v>
      </c>
      <c r="I8" s="15"/>
      <c r="J8" s="15">
        <f t="shared" si="1"/>
        <v>10</v>
      </c>
      <c r="K8" s="20">
        <f>Gomchi!K8+KHD!K8+Godhi!K8</f>
        <v>10</v>
      </c>
      <c r="L8" s="20">
        <f>Gomchi!L8+KHD!L8+Godhi!L8</f>
        <v>0</v>
      </c>
      <c r="M8" s="20">
        <f>Gomchi!M8+KHD!M8+Godhi!M8</f>
        <v>0</v>
      </c>
      <c r="N8" s="20">
        <f>Gomchi!N8+KHD!N8+Godhi!N8</f>
        <v>0</v>
      </c>
      <c r="O8" s="20">
        <f>Gomchi!O8+KHD!O8+Godhi!O8</f>
        <v>0</v>
      </c>
      <c r="P8" s="20">
        <f>Gomchi!P8+KHD!P8+Godhi!P8</f>
        <v>0</v>
      </c>
      <c r="Q8" s="18">
        <f>Gomchi!Q8+KHD!Q8+Godhi!Q8</f>
        <v>0</v>
      </c>
      <c r="R8" s="19">
        <f>'Master Booking Sheet'!D8</f>
        <v>0</v>
      </c>
      <c r="S8" s="19">
        <f t="shared" si="2"/>
        <v>10</v>
      </c>
    </row>
    <row r="9">
      <c r="A9" s="12">
        <v>7.0</v>
      </c>
      <c r="B9" s="13" t="s">
        <v>35</v>
      </c>
      <c r="C9" s="12" t="s">
        <v>36</v>
      </c>
      <c r="D9" s="14" t="s">
        <v>21</v>
      </c>
      <c r="E9" s="14" t="s">
        <v>37</v>
      </c>
      <c r="F9" s="15">
        <f>Gomchi!J9</f>
        <v>68</v>
      </c>
      <c r="G9" s="16">
        <f>KHD!J9</f>
        <v>1053</v>
      </c>
      <c r="H9" s="15">
        <f>Godhi!J9</f>
        <v>85</v>
      </c>
      <c r="I9" s="15"/>
      <c r="J9" s="15">
        <f t="shared" si="1"/>
        <v>1206</v>
      </c>
      <c r="K9" s="20">
        <f>Gomchi!K9+KHD!K9+Godhi!K9</f>
        <v>1158</v>
      </c>
      <c r="L9" s="20">
        <f>Gomchi!L9+KHD!L9+Godhi!L9</f>
        <v>43</v>
      </c>
      <c r="M9" s="20">
        <f>Gomchi!M9+KHD!M9+Godhi!M9</f>
        <v>0</v>
      </c>
      <c r="N9" s="20">
        <f>Gomchi!N9+KHD!N9+Godhi!N9</f>
        <v>0</v>
      </c>
      <c r="O9" s="20">
        <f>Gomchi!O9+KHD!O9+Godhi!O9</f>
        <v>0</v>
      </c>
      <c r="P9" s="20">
        <f>Gomchi!P9+KHD!P9+Godhi!P9</f>
        <v>0</v>
      </c>
      <c r="Q9" s="18">
        <f>Gomchi!Q9+KHD!Q9+Godhi!Q9</f>
        <v>5</v>
      </c>
      <c r="R9" s="19">
        <f>'Master Booking Sheet'!D9</f>
        <v>1036</v>
      </c>
      <c r="S9" s="19">
        <f t="shared" si="2"/>
        <v>165</v>
      </c>
    </row>
    <row r="10">
      <c r="A10" s="12">
        <v>8.0</v>
      </c>
      <c r="B10" s="13" t="s">
        <v>38</v>
      </c>
      <c r="C10" s="12" t="s">
        <v>39</v>
      </c>
      <c r="D10" s="14" t="s">
        <v>40</v>
      </c>
      <c r="E10" s="14" t="s">
        <v>41</v>
      </c>
      <c r="F10" s="15">
        <f>Gomchi!J10</f>
        <v>52</v>
      </c>
      <c r="G10" s="16">
        <f>KHD!J10</f>
        <v>1018</v>
      </c>
      <c r="H10" s="15">
        <f>Godhi!J10</f>
        <v>133</v>
      </c>
      <c r="I10" s="15"/>
      <c r="J10" s="15">
        <f t="shared" si="1"/>
        <v>1203</v>
      </c>
      <c r="K10" s="20">
        <f>Gomchi!K10+KHD!K10+Godhi!K10</f>
        <v>928</v>
      </c>
      <c r="L10" s="20">
        <f>Gomchi!L10+KHD!L10+Godhi!L10</f>
        <v>255</v>
      </c>
      <c r="M10" s="20">
        <f>Gomchi!M10+KHD!M10+Godhi!M10</f>
        <v>0</v>
      </c>
      <c r="N10" s="20">
        <f>Gomchi!N10+KHD!N10+Godhi!N10</f>
        <v>0</v>
      </c>
      <c r="O10" s="20">
        <f>Gomchi!O10+KHD!O10+Godhi!O10</f>
        <v>0</v>
      </c>
      <c r="P10" s="20">
        <f>Gomchi!P10+KHD!P10+Godhi!P10</f>
        <v>0</v>
      </c>
      <c r="Q10" s="18">
        <f>Gomchi!Q10+KHD!Q10+Godhi!Q10</f>
        <v>20</v>
      </c>
      <c r="R10" s="19">
        <f>'Master Booking Sheet'!D10</f>
        <v>1</v>
      </c>
      <c r="S10" s="19">
        <f t="shared" si="2"/>
        <v>1182</v>
      </c>
    </row>
    <row r="11">
      <c r="A11" s="12">
        <v>9.0</v>
      </c>
      <c r="B11" s="13" t="s">
        <v>42</v>
      </c>
      <c r="C11" s="12" t="s">
        <v>43</v>
      </c>
      <c r="D11" s="14" t="s">
        <v>40</v>
      </c>
      <c r="E11" s="14" t="s">
        <v>41</v>
      </c>
      <c r="F11" s="15">
        <f>Gomchi!J11</f>
        <v>182</v>
      </c>
      <c r="G11" s="16">
        <f>KHD!J11</f>
        <v>11596</v>
      </c>
      <c r="H11" s="15">
        <f>Godhi!J11</f>
        <v>96</v>
      </c>
      <c r="I11" s="15"/>
      <c r="J11" s="15">
        <f t="shared" si="1"/>
        <v>11874</v>
      </c>
      <c r="K11" s="20">
        <f>Gomchi!K11+KHD!K11+Godhi!K11</f>
        <v>8168</v>
      </c>
      <c r="L11" s="20">
        <f>Gomchi!L11+KHD!L11+Godhi!L11</f>
        <v>3046</v>
      </c>
      <c r="M11" s="20">
        <f>Gomchi!M11+KHD!M11+Godhi!M11</f>
        <v>660</v>
      </c>
      <c r="N11" s="20">
        <f>Gomchi!N11+KHD!N11+Godhi!N11</f>
        <v>0</v>
      </c>
      <c r="O11" s="20">
        <f>Gomchi!O11+KHD!O11+Godhi!O11</f>
        <v>0</v>
      </c>
      <c r="P11" s="20">
        <f>Gomchi!P11+KHD!P11+Godhi!P11</f>
        <v>0</v>
      </c>
      <c r="Q11" s="18">
        <f>Gomchi!Q11+KHD!Q11+Godhi!Q11</f>
        <v>0</v>
      </c>
      <c r="R11" s="19">
        <f>'Master Booking Sheet'!D11</f>
        <v>25</v>
      </c>
      <c r="S11" s="19">
        <f t="shared" si="2"/>
        <v>11849</v>
      </c>
    </row>
    <row r="12">
      <c r="A12" s="12">
        <v>10.0</v>
      </c>
      <c r="B12" s="13" t="s">
        <v>42</v>
      </c>
      <c r="C12" s="12" t="s">
        <v>44</v>
      </c>
      <c r="D12" s="14" t="s">
        <v>40</v>
      </c>
      <c r="E12" s="14" t="s">
        <v>41</v>
      </c>
      <c r="F12" s="15">
        <f>Gomchi!J12</f>
        <v>58</v>
      </c>
      <c r="G12" s="16">
        <f>KHD!J12</f>
        <v>296</v>
      </c>
      <c r="H12" s="15">
        <f>Godhi!J12</f>
        <v>60</v>
      </c>
      <c r="I12" s="15"/>
      <c r="J12" s="15">
        <f t="shared" si="1"/>
        <v>414</v>
      </c>
      <c r="K12" s="20">
        <f>Gomchi!K12+KHD!K12+Godhi!K12</f>
        <v>288</v>
      </c>
      <c r="L12" s="20">
        <f>Gomchi!L12+KHD!L12+Godhi!L12</f>
        <v>108</v>
      </c>
      <c r="M12" s="20">
        <f>Gomchi!M12+KHD!M12+Godhi!M12</f>
        <v>0</v>
      </c>
      <c r="N12" s="20">
        <f>Gomchi!N12+KHD!N12+Godhi!N12</f>
        <v>0</v>
      </c>
      <c r="O12" s="20">
        <f>Gomchi!O12+KHD!O12+Godhi!O12</f>
        <v>0</v>
      </c>
      <c r="P12" s="20">
        <f>Gomchi!P12+KHD!P12+Godhi!P12</f>
        <v>0</v>
      </c>
      <c r="Q12" s="18">
        <f>Gomchi!Q12+KHD!Q12+Godhi!Q12</f>
        <v>18</v>
      </c>
      <c r="R12" s="19">
        <f>'Master Booking Sheet'!D12</f>
        <v>0</v>
      </c>
      <c r="S12" s="19">
        <f t="shared" si="2"/>
        <v>396</v>
      </c>
    </row>
    <row r="13">
      <c r="A13" s="12">
        <v>11.0</v>
      </c>
      <c r="B13" s="13" t="s">
        <v>45</v>
      </c>
      <c r="C13" s="12" t="s">
        <v>46</v>
      </c>
      <c r="D13" s="14" t="s">
        <v>40</v>
      </c>
      <c r="E13" s="21"/>
      <c r="F13" s="15">
        <f>Gomchi!J13</f>
        <v>21</v>
      </c>
      <c r="G13" s="16">
        <f>KHD!J13</f>
        <v>0</v>
      </c>
      <c r="H13" s="22">
        <f>Godhi!J13</f>
        <v>0</v>
      </c>
      <c r="I13" s="15"/>
      <c r="J13" s="15">
        <f t="shared" si="1"/>
        <v>21</v>
      </c>
      <c r="K13" s="23">
        <f>Gomchi!K13+KHD!K13+Godhi!K13</f>
        <v>0</v>
      </c>
      <c r="L13" s="20">
        <f>Gomchi!L13+KHD!L13+Godhi!L13</f>
        <v>0</v>
      </c>
      <c r="M13" s="20">
        <f>Gomchi!M13+KHD!M13+Godhi!M13</f>
        <v>21</v>
      </c>
      <c r="N13" s="20">
        <f>Gomchi!N13+KHD!N13+Godhi!N13</f>
        <v>0</v>
      </c>
      <c r="O13" s="20">
        <f>Gomchi!O13+KHD!O13+Godhi!O13</f>
        <v>0</v>
      </c>
      <c r="P13" s="20">
        <f>Gomchi!P13+KHD!P13+Godhi!P13</f>
        <v>0</v>
      </c>
      <c r="Q13" s="18">
        <f>Gomchi!Q13+KHD!Q13+Godhi!Q13</f>
        <v>0</v>
      </c>
      <c r="R13" s="19">
        <f>'Master Booking Sheet'!D13</f>
        <v>0</v>
      </c>
      <c r="S13" s="19">
        <f t="shared" si="2"/>
        <v>21</v>
      </c>
    </row>
    <row r="14">
      <c r="A14" s="12">
        <v>12.0</v>
      </c>
      <c r="B14" s="13" t="s">
        <v>47</v>
      </c>
      <c r="C14" s="12" t="s">
        <v>48</v>
      </c>
      <c r="D14" s="14" t="s">
        <v>40</v>
      </c>
      <c r="E14" s="14" t="s">
        <v>41</v>
      </c>
      <c r="F14" s="15">
        <f>Gomchi!J14</f>
        <v>35</v>
      </c>
      <c r="G14" s="16">
        <f>KHD!J14</f>
        <v>1020</v>
      </c>
      <c r="H14" s="15">
        <f>Godhi!J14</f>
        <v>60</v>
      </c>
      <c r="I14" s="15"/>
      <c r="J14" s="15">
        <f t="shared" si="1"/>
        <v>1115</v>
      </c>
      <c r="K14" s="17">
        <f>Gomchi!K14+KHD!K14+Godhi!K14</f>
        <v>874</v>
      </c>
      <c r="L14" s="17">
        <f>Gomchi!L14+KHD!L14+Godhi!L14</f>
        <v>157</v>
      </c>
      <c r="M14" s="17">
        <f>Gomchi!M14+KHD!M14+Godhi!M14</f>
        <v>74</v>
      </c>
      <c r="N14" s="17">
        <f>Gomchi!N14+KHD!N14+Godhi!N14</f>
        <v>0</v>
      </c>
      <c r="O14" s="17">
        <f>Gomchi!O14+KHD!O14+Godhi!O14</f>
        <v>0</v>
      </c>
      <c r="P14" s="17">
        <f>Gomchi!P14+KHD!P14+Godhi!P14</f>
        <v>0</v>
      </c>
      <c r="Q14" s="18">
        <f>Gomchi!Q14+KHD!Q14+Godhi!Q14</f>
        <v>10</v>
      </c>
      <c r="R14" s="19">
        <f>'Master Booking Sheet'!D14</f>
        <v>225</v>
      </c>
      <c r="S14" s="19">
        <f t="shared" si="2"/>
        <v>880</v>
      </c>
    </row>
    <row r="15">
      <c r="A15" s="12">
        <v>13.0</v>
      </c>
      <c r="B15" s="13" t="s">
        <v>47</v>
      </c>
      <c r="C15" s="12" t="s">
        <v>49</v>
      </c>
      <c r="D15" s="14" t="s">
        <v>40</v>
      </c>
      <c r="E15" s="14" t="s">
        <v>41</v>
      </c>
      <c r="F15" s="15">
        <f>Gomchi!J15</f>
        <v>22</v>
      </c>
      <c r="G15" s="16">
        <f>KHD!J15</f>
        <v>236</v>
      </c>
      <c r="H15" s="15">
        <f>Godhi!J15</f>
        <v>60</v>
      </c>
      <c r="I15" s="15"/>
      <c r="J15" s="15">
        <f t="shared" si="1"/>
        <v>318</v>
      </c>
      <c r="K15" s="17">
        <f>Gomchi!K15+KHD!K15+Godhi!K15</f>
        <v>220</v>
      </c>
      <c r="L15" s="17">
        <f>Gomchi!L15+KHD!L15+Godhi!L15</f>
        <v>88</v>
      </c>
      <c r="M15" s="17">
        <f>Gomchi!M15+KHD!M15+Godhi!M15</f>
        <v>10</v>
      </c>
      <c r="N15" s="17">
        <f>Gomchi!N15+KHD!N15+Godhi!N15</f>
        <v>0</v>
      </c>
      <c r="O15" s="17">
        <f>Gomchi!O15+KHD!O15+Godhi!O15</f>
        <v>0</v>
      </c>
      <c r="P15" s="17">
        <f>Gomchi!P15+KHD!P15+Godhi!P15</f>
        <v>0</v>
      </c>
      <c r="Q15" s="18">
        <f>Gomchi!Q15+KHD!Q15+Godhi!Q15</f>
        <v>0</v>
      </c>
      <c r="R15" s="19">
        <f>'Master Booking Sheet'!D15</f>
        <v>74</v>
      </c>
      <c r="S15" s="19">
        <f t="shared" si="2"/>
        <v>244</v>
      </c>
    </row>
    <row r="16">
      <c r="A16" s="12">
        <v>14.0</v>
      </c>
      <c r="B16" s="13" t="s">
        <v>47</v>
      </c>
      <c r="C16" s="12" t="s">
        <v>50</v>
      </c>
      <c r="D16" s="14" t="s">
        <v>40</v>
      </c>
      <c r="E16" s="14" t="s">
        <v>41</v>
      </c>
      <c r="F16" s="15">
        <f>Gomchi!J16</f>
        <v>36</v>
      </c>
      <c r="G16" s="16">
        <f>KHD!J16</f>
        <v>277</v>
      </c>
      <c r="H16" s="15">
        <f>Godhi!J16</f>
        <v>46</v>
      </c>
      <c r="I16" s="15"/>
      <c r="J16" s="15">
        <f t="shared" si="1"/>
        <v>359</v>
      </c>
      <c r="K16" s="20">
        <f>Gomchi!K16+KHD!K16+Godhi!K16</f>
        <v>315</v>
      </c>
      <c r="L16" s="20">
        <f>Gomchi!L16+KHD!L16+Godhi!L16</f>
        <v>18</v>
      </c>
      <c r="M16" s="20">
        <f>Gomchi!M16+KHD!M16+Godhi!M16</f>
        <v>0</v>
      </c>
      <c r="N16" s="20">
        <f>Gomchi!N16+KHD!N16+Godhi!N16</f>
        <v>0</v>
      </c>
      <c r="O16" s="20">
        <f>Gomchi!O16+KHD!O16+Godhi!O16</f>
        <v>0</v>
      </c>
      <c r="P16" s="20">
        <f>Gomchi!P16+KHD!P16+Godhi!P16</f>
        <v>0</v>
      </c>
      <c r="Q16" s="18">
        <f>Gomchi!Q16+KHD!Q16+Godhi!Q16</f>
        <v>26</v>
      </c>
      <c r="R16" s="19">
        <f>'Master Booking Sheet'!D16</f>
        <v>22</v>
      </c>
      <c r="S16" s="19">
        <f t="shared" si="2"/>
        <v>311</v>
      </c>
    </row>
    <row r="17">
      <c r="A17" s="12">
        <v>15.0</v>
      </c>
      <c r="B17" s="13" t="s">
        <v>51</v>
      </c>
      <c r="C17" s="12" t="s">
        <v>52</v>
      </c>
      <c r="D17" s="14" t="s">
        <v>21</v>
      </c>
      <c r="E17" s="14" t="s">
        <v>53</v>
      </c>
      <c r="F17" s="15">
        <f>Gomchi!J17</f>
        <v>68</v>
      </c>
      <c r="G17" s="16">
        <f>KHD!J17</f>
        <v>450</v>
      </c>
      <c r="H17" s="15">
        <f>Godhi!J17</f>
        <v>54</v>
      </c>
      <c r="I17" s="15"/>
      <c r="J17" s="15">
        <f t="shared" si="1"/>
        <v>572</v>
      </c>
      <c r="K17" s="20">
        <f>Gomchi!K17+KHD!K17+Godhi!K17</f>
        <v>543</v>
      </c>
      <c r="L17" s="20">
        <f>Gomchi!L17+KHD!L17+Godhi!L17</f>
        <v>9</v>
      </c>
      <c r="M17" s="20">
        <f>Gomchi!M17+KHD!M17+Godhi!M17</f>
        <v>0</v>
      </c>
      <c r="N17" s="20">
        <f>Gomchi!N17+KHD!N17+Godhi!N17</f>
        <v>0</v>
      </c>
      <c r="O17" s="20">
        <f>Gomchi!O17+KHD!O17+Godhi!O17</f>
        <v>0</v>
      </c>
      <c r="P17" s="20">
        <f>Gomchi!P17+KHD!P17+Godhi!P17</f>
        <v>0</v>
      </c>
      <c r="Q17" s="18">
        <f>Gomchi!Q17+KHD!Q17+Godhi!Q17</f>
        <v>20</v>
      </c>
      <c r="R17" s="19">
        <f>'Master Booking Sheet'!D17</f>
        <v>6</v>
      </c>
      <c r="S17" s="19">
        <f t="shared" si="2"/>
        <v>546</v>
      </c>
    </row>
    <row r="18">
      <c r="A18" s="12">
        <v>16.0</v>
      </c>
      <c r="B18" s="13" t="s">
        <v>54</v>
      </c>
      <c r="C18" s="12" t="s">
        <v>55</v>
      </c>
      <c r="D18" s="14" t="s">
        <v>21</v>
      </c>
      <c r="E18" s="14" t="s">
        <v>56</v>
      </c>
      <c r="F18" s="15">
        <f>Gomchi!J18</f>
        <v>28980</v>
      </c>
      <c r="G18" s="16">
        <f>KHD!J18</f>
        <v>5271</v>
      </c>
      <c r="H18" s="15">
        <f>Godhi!J18</f>
        <v>106253</v>
      </c>
      <c r="I18" s="16">
        <f>Mongrapal!J3</f>
        <v>102471</v>
      </c>
      <c r="J18" s="15">
        <f>SUM(F18:I18)</f>
        <v>242975</v>
      </c>
      <c r="K18" s="20">
        <f>Gomchi!K18+KHD!K18+Mongrapal!K3+Godhi!K18</f>
        <v>82065</v>
      </c>
      <c r="L18" s="20">
        <f>Gomchi!L18+KHD!L18+Mongrapal!L3+Godhi!L18</f>
        <v>35756</v>
      </c>
      <c r="M18" s="20">
        <f>Gomchi!M18+KHD!M18+Mongrapal!M3+Godhi!M18</f>
        <v>23000</v>
      </c>
      <c r="N18" s="20">
        <f>Gomchi!N18+KHD!N18+Mongrapal!N3+Godhi!N18</f>
        <v>52560</v>
      </c>
      <c r="O18" s="20">
        <f>Gomchi!O18+KHD!O18+Mongrapal!O3+Godhi!O18</f>
        <v>36870</v>
      </c>
      <c r="P18" s="20">
        <f>Gomchi!P18+KHD!P18+Mongrapal!P3+Godhi!P18</f>
        <v>11697</v>
      </c>
      <c r="Q18" s="24">
        <f>Gomchi!Q18+KHD!Q18+Mongrapal!Q3+Godhi!Q18</f>
        <v>1027</v>
      </c>
      <c r="R18" s="19" t="str">
        <f>'Master Booking Sheet'!D18</f>
        <v/>
      </c>
      <c r="S18" s="19">
        <f t="shared" si="2"/>
        <v>241948</v>
      </c>
    </row>
    <row r="19">
      <c r="A19" s="12">
        <v>17.0</v>
      </c>
      <c r="B19" s="13" t="s">
        <v>54</v>
      </c>
      <c r="C19" s="12" t="s">
        <v>57</v>
      </c>
      <c r="D19" s="14" t="s">
        <v>21</v>
      </c>
      <c r="E19" s="14" t="s">
        <v>58</v>
      </c>
      <c r="F19" s="15">
        <f>Gomchi!J19</f>
        <v>1</v>
      </c>
      <c r="G19" s="16">
        <f>KHD!J19</f>
        <v>1689</v>
      </c>
      <c r="H19" s="15">
        <f>Godhi!J19</f>
        <v>80</v>
      </c>
      <c r="I19" s="15"/>
      <c r="J19" s="15">
        <f t="shared" ref="J19:J39" si="3">SUM(F19:H19)</f>
        <v>1770</v>
      </c>
      <c r="K19" s="20">
        <f>Gomchi!K19+KHD!K19+Godhi!K19</f>
        <v>1190</v>
      </c>
      <c r="L19" s="20">
        <f>Gomchi!L19+KHD!L19+Godhi!L19</f>
        <v>580</v>
      </c>
      <c r="M19" s="20">
        <f>Gomchi!M19+KHD!M19+Godhi!M19</f>
        <v>0</v>
      </c>
      <c r="N19" s="20">
        <f>Gomchi!N19+KHD!N19+Godhi!N19</f>
        <v>0</v>
      </c>
      <c r="O19" s="20">
        <f>Gomchi!O19+KHD!O19+Godhi!O19</f>
        <v>0</v>
      </c>
      <c r="P19" s="20">
        <f>Gomchi!P19+KHD!P19+Godhi!P19</f>
        <v>0</v>
      </c>
      <c r="Q19" s="24">
        <f>Gomchi!Q19+KHD!Q19+Godhi!Q19</f>
        <v>0</v>
      </c>
      <c r="R19" s="19" t="str">
        <f>'Master Booking Sheet'!D19</f>
        <v/>
      </c>
      <c r="S19" s="19">
        <f t="shared" si="2"/>
        <v>1770</v>
      </c>
    </row>
    <row r="20">
      <c r="A20" s="12">
        <v>18.0</v>
      </c>
      <c r="B20" s="13" t="s">
        <v>59</v>
      </c>
      <c r="C20" s="12" t="s">
        <v>60</v>
      </c>
      <c r="D20" s="14" t="s">
        <v>21</v>
      </c>
      <c r="E20" s="14" t="s">
        <v>61</v>
      </c>
      <c r="F20" s="15">
        <f>Gomchi!J20</f>
        <v>10</v>
      </c>
      <c r="G20" s="16">
        <f>KHD!J20</f>
        <v>9</v>
      </c>
      <c r="H20" s="15">
        <f>Godhi!J20</f>
        <v>17</v>
      </c>
      <c r="I20" s="15"/>
      <c r="J20" s="15">
        <f t="shared" si="3"/>
        <v>36</v>
      </c>
      <c r="K20" s="20">
        <f>Gomchi!K20+KHD!K20+Godhi!K20</f>
        <v>27</v>
      </c>
      <c r="L20" s="20">
        <f>Gomchi!L20+KHD!L20+Godhi!L20</f>
        <v>2</v>
      </c>
      <c r="M20" s="20">
        <f>Gomchi!M20+KHD!M20+Godhi!M20</f>
        <v>0</v>
      </c>
      <c r="N20" s="20">
        <f>Gomchi!N20+KHD!N20+Godhi!N20</f>
        <v>0</v>
      </c>
      <c r="O20" s="20">
        <f>Gomchi!O20+KHD!O20+Godhi!O20</f>
        <v>0</v>
      </c>
      <c r="P20" s="20">
        <f>Gomchi!P20+KHD!P20+Godhi!P20</f>
        <v>0</v>
      </c>
      <c r="Q20" s="24">
        <f>Gomchi!Q20+KHD!Q20+Godhi!Q20</f>
        <v>7</v>
      </c>
      <c r="R20" s="19">
        <f>'Master Booking Sheet'!D20</f>
        <v>330</v>
      </c>
      <c r="S20" s="19">
        <f t="shared" si="2"/>
        <v>-301</v>
      </c>
    </row>
    <row r="21">
      <c r="A21" s="12">
        <v>19.0</v>
      </c>
      <c r="B21" s="13" t="s">
        <v>59</v>
      </c>
      <c r="C21" s="12" t="s">
        <v>62</v>
      </c>
      <c r="D21" s="14" t="s">
        <v>63</v>
      </c>
      <c r="E21" s="14" t="s">
        <v>64</v>
      </c>
      <c r="F21" s="15">
        <f>Gomchi!J21</f>
        <v>549</v>
      </c>
      <c r="G21" s="16">
        <f>KHD!J21</f>
        <v>18</v>
      </c>
      <c r="H21" s="15">
        <f>Godhi!J21</f>
        <v>54</v>
      </c>
      <c r="I21" s="15"/>
      <c r="J21" s="15">
        <f t="shared" si="3"/>
        <v>621</v>
      </c>
      <c r="K21" s="20">
        <f>Gomchi!K21+KHD!K21+Godhi!K21</f>
        <v>188</v>
      </c>
      <c r="L21" s="20">
        <f>Gomchi!L21+KHD!L21+Godhi!L21</f>
        <v>416</v>
      </c>
      <c r="M21" s="20">
        <f>Gomchi!M21+KHD!M21+Godhi!M21</f>
        <v>11</v>
      </c>
      <c r="N21" s="20">
        <f>Gomchi!N21+KHD!N21+Godhi!N21</f>
        <v>0</v>
      </c>
      <c r="O21" s="20">
        <f>Gomchi!O21+KHD!O21+Godhi!O21</f>
        <v>0</v>
      </c>
      <c r="P21" s="20">
        <f>Gomchi!P21+KHD!P21+Godhi!P21</f>
        <v>0</v>
      </c>
      <c r="Q21" s="24">
        <f>Gomchi!Q21+KHD!Q21+Godhi!Q21</f>
        <v>6</v>
      </c>
      <c r="R21" s="19">
        <f>'Master Booking Sheet'!D43</f>
        <v>1211</v>
      </c>
      <c r="S21" s="19">
        <f t="shared" si="2"/>
        <v>-596</v>
      </c>
    </row>
    <row r="22">
      <c r="A22" s="12">
        <v>20.0</v>
      </c>
      <c r="B22" s="13" t="s">
        <v>65</v>
      </c>
      <c r="C22" s="12" t="s">
        <v>66</v>
      </c>
      <c r="D22" s="14" t="s">
        <v>21</v>
      </c>
      <c r="E22" s="14" t="s">
        <v>67</v>
      </c>
      <c r="F22" s="15">
        <f>Gomchi!J22</f>
        <v>27</v>
      </c>
      <c r="G22" s="16">
        <f>KHD!J22</f>
        <v>1516</v>
      </c>
      <c r="H22" s="15">
        <f>Godhi!J22</f>
        <v>85</v>
      </c>
      <c r="I22" s="15"/>
      <c r="J22" s="15">
        <f t="shared" si="3"/>
        <v>1628</v>
      </c>
      <c r="K22" s="20">
        <f>Gomchi!K22+KHD!K22+Godhi!K22</f>
        <v>1118</v>
      </c>
      <c r="L22" s="20">
        <f>Gomchi!L22+KHD!L22+Godhi!L22</f>
        <v>506</v>
      </c>
      <c r="M22" s="20">
        <f>Gomchi!M22+KHD!M22+Godhi!M22</f>
        <v>4</v>
      </c>
      <c r="N22" s="20">
        <f>Gomchi!N22+KHD!N22+Godhi!N22</f>
        <v>0</v>
      </c>
      <c r="O22" s="20">
        <f>Gomchi!O22+KHD!O22+Godhi!O22</f>
        <v>0</v>
      </c>
      <c r="P22" s="20">
        <f>Gomchi!P22+KHD!P22+Godhi!P22</f>
        <v>0</v>
      </c>
      <c r="Q22" s="24">
        <f>Gomchi!Q22+KHD!Q22+Godhi!Q22</f>
        <v>0</v>
      </c>
      <c r="R22" s="19">
        <f>'Master Booking Sheet'!D21</f>
        <v>187</v>
      </c>
      <c r="S22" s="19">
        <f t="shared" si="2"/>
        <v>1441</v>
      </c>
    </row>
    <row r="23">
      <c r="A23" s="12">
        <v>21.0</v>
      </c>
      <c r="B23" s="13" t="s">
        <v>65</v>
      </c>
      <c r="C23" s="12" t="s">
        <v>68</v>
      </c>
      <c r="D23" s="14" t="s">
        <v>21</v>
      </c>
      <c r="E23" s="14" t="s">
        <v>69</v>
      </c>
      <c r="F23" s="15">
        <f>Gomchi!J23</f>
        <v>26</v>
      </c>
      <c r="G23" s="16">
        <f>KHD!J23</f>
        <v>30</v>
      </c>
      <c r="H23" s="15">
        <f>Godhi!J23</f>
        <v>98</v>
      </c>
      <c r="I23" s="15"/>
      <c r="J23" s="15">
        <f t="shared" si="3"/>
        <v>154</v>
      </c>
      <c r="K23" s="20">
        <f>Gomchi!K23+KHD!K23+Godhi!K23</f>
        <v>110</v>
      </c>
      <c r="L23" s="20">
        <f>Gomchi!L23+KHD!L23+Godhi!L23</f>
        <v>38</v>
      </c>
      <c r="M23" s="20">
        <f>Gomchi!M23+KHD!M23+Godhi!M23</f>
        <v>6</v>
      </c>
      <c r="N23" s="20">
        <f>Gomchi!N23+KHD!N23+Godhi!N23</f>
        <v>0</v>
      </c>
      <c r="O23" s="20">
        <f>Gomchi!O23+KHD!O23+Godhi!O23</f>
        <v>0</v>
      </c>
      <c r="P23" s="20">
        <f>Gomchi!P23+KHD!P23+Godhi!P23</f>
        <v>0</v>
      </c>
      <c r="Q23" s="24">
        <f>Gomchi!Q23+KHD!Q23+Godhi!Q23</f>
        <v>0</v>
      </c>
      <c r="R23" s="19" t="str">
        <f>'Master Booking Sheet'!D22</f>
        <v/>
      </c>
      <c r="S23" s="19">
        <f t="shared" si="2"/>
        <v>154</v>
      </c>
    </row>
    <row r="24">
      <c r="A24" s="12">
        <v>22.0</v>
      </c>
      <c r="B24" s="13" t="s">
        <v>70</v>
      </c>
      <c r="C24" s="12" t="s">
        <v>71</v>
      </c>
      <c r="D24" s="14" t="s">
        <v>21</v>
      </c>
      <c r="E24" s="14" t="s">
        <v>72</v>
      </c>
      <c r="F24" s="15">
        <f>Gomchi!J24</f>
        <v>13</v>
      </c>
      <c r="G24" s="16">
        <f>KHD!J24</f>
        <v>3</v>
      </c>
      <c r="H24" s="15">
        <f>Godhi!J24</f>
        <v>15</v>
      </c>
      <c r="I24" s="15"/>
      <c r="J24" s="15">
        <f t="shared" si="3"/>
        <v>31</v>
      </c>
      <c r="K24" s="20">
        <f>Gomchi!K24+KHD!K24+Godhi!K24</f>
        <v>31</v>
      </c>
      <c r="L24" s="20">
        <f>Gomchi!L24+KHD!L24+Godhi!L24</f>
        <v>0</v>
      </c>
      <c r="M24" s="20">
        <f>Gomchi!M24+KHD!M24+Godhi!M24</f>
        <v>0</v>
      </c>
      <c r="N24" s="20">
        <f>Gomchi!N24+KHD!N24+Godhi!N24</f>
        <v>0</v>
      </c>
      <c r="O24" s="20">
        <f>Gomchi!O24+KHD!O24+Godhi!O24</f>
        <v>0</v>
      </c>
      <c r="P24" s="20">
        <f>Gomchi!P24+KHD!P24+Godhi!P24</f>
        <v>0</v>
      </c>
      <c r="Q24" s="24">
        <f>Gomchi!Q24+KHD!Q24+Godhi!Q24</f>
        <v>0</v>
      </c>
      <c r="R24" s="19">
        <f>'Master Booking Sheet'!D23</f>
        <v>26</v>
      </c>
      <c r="S24" s="19">
        <f t="shared" si="2"/>
        <v>5</v>
      </c>
    </row>
    <row r="25">
      <c r="A25" s="12">
        <v>23.0</v>
      </c>
      <c r="B25" s="13" t="s">
        <v>70</v>
      </c>
      <c r="C25" s="12" t="s">
        <v>73</v>
      </c>
      <c r="D25" s="21"/>
      <c r="E25" s="21"/>
      <c r="F25" s="15">
        <f>Gomchi!J25</f>
        <v>0</v>
      </c>
      <c r="G25" s="16">
        <f>KHD!J25</f>
        <v>0</v>
      </c>
      <c r="H25" s="15">
        <f>Godhi!J25</f>
        <v>0</v>
      </c>
      <c r="I25" s="15"/>
      <c r="J25" s="15">
        <f t="shared" si="3"/>
        <v>0</v>
      </c>
      <c r="K25" s="20">
        <f>Gomchi!K25+KHD!K25+Godhi!K25</f>
        <v>0</v>
      </c>
      <c r="L25" s="20">
        <f>Gomchi!L25+KHD!L25+Godhi!L25</f>
        <v>0</v>
      </c>
      <c r="M25" s="20">
        <f>Gomchi!M25+KHD!M25+Godhi!M25</f>
        <v>0</v>
      </c>
      <c r="N25" s="20">
        <f>Gomchi!N25+KHD!N25+Godhi!N25</f>
        <v>0</v>
      </c>
      <c r="O25" s="20">
        <f>Gomchi!O25+KHD!O25+Godhi!O25</f>
        <v>0</v>
      </c>
      <c r="P25" s="20">
        <f>Gomchi!P25+KHD!P25+Godhi!P25</f>
        <v>0</v>
      </c>
      <c r="Q25" s="24">
        <f>Gomchi!Q25+KHD!Q25+Godhi!Q25</f>
        <v>0</v>
      </c>
      <c r="R25" s="19" t="str">
        <f>'Master Booking Sheet'!D24</f>
        <v/>
      </c>
      <c r="S25" s="19">
        <f t="shared" si="2"/>
        <v>0</v>
      </c>
    </row>
    <row r="26">
      <c r="A26" s="12">
        <v>24.0</v>
      </c>
      <c r="B26" s="13" t="s">
        <v>74</v>
      </c>
      <c r="C26" s="12" t="s">
        <v>60</v>
      </c>
      <c r="D26" s="14" t="s">
        <v>75</v>
      </c>
      <c r="E26" s="21"/>
      <c r="F26" s="15">
        <f>Gomchi!J26</f>
        <v>90</v>
      </c>
      <c r="G26" s="16">
        <f>KHD!J26</f>
        <v>447</v>
      </c>
      <c r="H26" s="15">
        <f>Godhi!J26</f>
        <v>4936</v>
      </c>
      <c r="I26" s="15"/>
      <c r="J26" s="15">
        <f t="shared" si="3"/>
        <v>5473</v>
      </c>
      <c r="K26" s="20">
        <f>Gomchi!K26+KHD!K26+Godhi!K26</f>
        <v>5394</v>
      </c>
      <c r="L26" s="20">
        <f>Gomchi!L26+KHD!L26+Godhi!L26</f>
        <v>79</v>
      </c>
      <c r="M26" s="20">
        <f>Gomchi!M26+KHD!M26+Godhi!M26</f>
        <v>0</v>
      </c>
      <c r="N26" s="20">
        <f>Gomchi!N26+KHD!N26+Godhi!N26</f>
        <v>0</v>
      </c>
      <c r="O26" s="20">
        <f>Gomchi!O26+KHD!O26+Godhi!O26</f>
        <v>0</v>
      </c>
      <c r="P26" s="20">
        <f>Gomchi!P26+KHD!P26+Godhi!P26</f>
        <v>0</v>
      </c>
      <c r="Q26" s="24">
        <f>Gomchi!Q26+KHD!Q26+Godhi!Q26</f>
        <v>0</v>
      </c>
      <c r="R26" s="19">
        <f>'Master Booking Sheet'!D25</f>
        <v>107</v>
      </c>
      <c r="S26" s="19">
        <f t="shared" si="2"/>
        <v>5366</v>
      </c>
    </row>
    <row r="27">
      <c r="A27" s="12">
        <v>25.0</v>
      </c>
      <c r="B27" s="13" t="s">
        <v>74</v>
      </c>
      <c r="C27" s="12" t="s">
        <v>76</v>
      </c>
      <c r="D27" s="14" t="s">
        <v>75</v>
      </c>
      <c r="E27" s="21"/>
      <c r="F27" s="15">
        <f>Gomchi!J27</f>
        <v>1709</v>
      </c>
      <c r="G27" s="16">
        <f>KHD!J27</f>
        <v>17</v>
      </c>
      <c r="H27" s="15">
        <f>Godhi!J27</f>
        <v>704</v>
      </c>
      <c r="I27" s="15"/>
      <c r="J27" s="15">
        <f t="shared" si="3"/>
        <v>2430</v>
      </c>
      <c r="K27" s="20">
        <f>Gomchi!K27+KHD!K27+Godhi!K27</f>
        <v>1595</v>
      </c>
      <c r="L27" s="20">
        <f>Gomchi!L27+KHD!L27+Godhi!L27</f>
        <v>19</v>
      </c>
      <c r="M27" s="20">
        <f>Gomchi!M27+KHD!M27+Godhi!M27</f>
        <v>100</v>
      </c>
      <c r="N27" s="20">
        <f>Gomchi!N27+KHD!N27+Godhi!N27</f>
        <v>0</v>
      </c>
      <c r="O27" s="20">
        <f>Gomchi!O27+KHD!O27+Godhi!O27</f>
        <v>674</v>
      </c>
      <c r="P27" s="20">
        <f>Gomchi!P27+KHD!P27+Godhi!P27</f>
        <v>28</v>
      </c>
      <c r="Q27" s="24">
        <f>Gomchi!Q27+KHD!Q27+Godhi!Q27</f>
        <v>14</v>
      </c>
      <c r="R27" s="19">
        <f>'Master Booking Sheet'!D26</f>
        <v>1205</v>
      </c>
      <c r="S27" s="19">
        <f t="shared" si="2"/>
        <v>1211</v>
      </c>
    </row>
    <row r="28">
      <c r="A28" s="12">
        <v>26.0</v>
      </c>
      <c r="B28" s="13" t="s">
        <v>77</v>
      </c>
      <c r="C28" s="12" t="s">
        <v>78</v>
      </c>
      <c r="D28" s="14" t="s">
        <v>21</v>
      </c>
      <c r="E28" s="14" t="s">
        <v>79</v>
      </c>
      <c r="F28" s="15">
        <f>Gomchi!J28</f>
        <v>0</v>
      </c>
      <c r="G28" s="16">
        <f>KHD!J28</f>
        <v>306</v>
      </c>
      <c r="H28" s="22">
        <f>Godhi!J28</f>
        <v>0</v>
      </c>
      <c r="I28" s="15"/>
      <c r="J28" s="15">
        <f t="shared" si="3"/>
        <v>306</v>
      </c>
      <c r="K28" s="23">
        <f>Gomchi!K28+KHD!K28+Godhi!K28</f>
        <v>0</v>
      </c>
      <c r="L28" s="20">
        <f>Gomchi!L28+KHD!L28+Godhi!L28</f>
        <v>0</v>
      </c>
      <c r="M28" s="20">
        <f>Gomchi!M28+KHD!M28+Godhi!M28</f>
        <v>30</v>
      </c>
      <c r="N28" s="20">
        <f>Gomchi!N28+KHD!N28+Godhi!N28</f>
        <v>0</v>
      </c>
      <c r="O28" s="20">
        <f>Gomchi!O28+KHD!O28+Godhi!O28</f>
        <v>0</v>
      </c>
      <c r="P28" s="20">
        <f>Gomchi!P28+KHD!P28+Godhi!P28</f>
        <v>0</v>
      </c>
      <c r="Q28" s="24">
        <f>Gomchi!Q28+KHD!Q28+Godhi!Q28</f>
        <v>276</v>
      </c>
      <c r="R28" s="19" t="str">
        <f>'Master Booking Sheet'!D27</f>
        <v/>
      </c>
      <c r="S28" s="19">
        <f t="shared" si="2"/>
        <v>30</v>
      </c>
    </row>
    <row r="29">
      <c r="A29" s="12">
        <v>27.0</v>
      </c>
      <c r="B29" s="13" t="s">
        <v>80</v>
      </c>
      <c r="C29" s="12" t="s">
        <v>81</v>
      </c>
      <c r="D29" s="14" t="s">
        <v>21</v>
      </c>
      <c r="E29" s="14" t="s">
        <v>82</v>
      </c>
      <c r="F29" s="15">
        <f>Gomchi!J29</f>
        <v>8</v>
      </c>
      <c r="G29" s="16">
        <f>KHD!J29</f>
        <v>2</v>
      </c>
      <c r="H29" s="15">
        <f>Godhi!J29</f>
        <v>9</v>
      </c>
      <c r="I29" s="15"/>
      <c r="J29" s="15">
        <f t="shared" si="3"/>
        <v>19</v>
      </c>
      <c r="K29" s="20">
        <f>Gomchi!K29+KHD!K29+Godhi!K29</f>
        <v>17</v>
      </c>
      <c r="L29" s="20">
        <f>Gomchi!L29+KHD!L29+Godhi!L29</f>
        <v>2</v>
      </c>
      <c r="M29" s="20">
        <f>Gomchi!M29+KHD!M29+Godhi!M29</f>
        <v>0</v>
      </c>
      <c r="N29" s="20">
        <f>Gomchi!N29+KHD!N29+Godhi!N29</f>
        <v>0</v>
      </c>
      <c r="O29" s="20">
        <f>Gomchi!O29+KHD!O29+Godhi!O29</f>
        <v>0</v>
      </c>
      <c r="P29" s="20">
        <f>Gomchi!P29+KHD!P29+Godhi!P29</f>
        <v>0</v>
      </c>
      <c r="Q29" s="24">
        <f>Gomchi!Q29+KHD!Q29+Godhi!Q29</f>
        <v>0</v>
      </c>
      <c r="R29" s="19">
        <f>'Master Booking Sheet'!D28</f>
        <v>50</v>
      </c>
      <c r="S29" s="19">
        <f t="shared" si="2"/>
        <v>-31</v>
      </c>
    </row>
    <row r="30">
      <c r="A30" s="12">
        <v>28.0</v>
      </c>
      <c r="B30" s="13" t="s">
        <v>80</v>
      </c>
      <c r="C30" s="12" t="s">
        <v>83</v>
      </c>
      <c r="D30" s="14" t="s">
        <v>21</v>
      </c>
      <c r="E30" s="14" t="s">
        <v>84</v>
      </c>
      <c r="F30" s="15">
        <f>Gomchi!J30</f>
        <v>11</v>
      </c>
      <c r="G30" s="16">
        <f>KHD!J30</f>
        <v>10</v>
      </c>
      <c r="H30" s="15">
        <f>Godhi!J30</f>
        <v>22</v>
      </c>
      <c r="I30" s="15"/>
      <c r="J30" s="15">
        <f t="shared" si="3"/>
        <v>43</v>
      </c>
      <c r="K30" s="20">
        <f>Gomchi!K30+KHD!K30+Godhi!K30</f>
        <v>29</v>
      </c>
      <c r="L30" s="20">
        <f>Gomchi!L30+KHD!L30+Godhi!L30</f>
        <v>14</v>
      </c>
      <c r="M30" s="20">
        <f>Gomchi!M30+KHD!M30+Godhi!M30</f>
        <v>0</v>
      </c>
      <c r="N30" s="20">
        <f>Gomchi!N30+KHD!N30+Godhi!N30</f>
        <v>0</v>
      </c>
      <c r="O30" s="20">
        <f>Gomchi!O30+KHD!O30+Godhi!O30</f>
        <v>0</v>
      </c>
      <c r="P30" s="20">
        <f>Gomchi!P30+KHD!P30+Godhi!P30</f>
        <v>0</v>
      </c>
      <c r="Q30" s="24">
        <f>Gomchi!Q30+KHD!Q30+Godhi!Q30</f>
        <v>0</v>
      </c>
      <c r="R30" s="19" t="str">
        <f>'Master Booking Sheet'!D29</f>
        <v/>
      </c>
      <c r="S30" s="19">
        <f t="shared" si="2"/>
        <v>43</v>
      </c>
    </row>
    <row r="31">
      <c r="A31" s="12">
        <v>29.0</v>
      </c>
      <c r="B31" s="13" t="s">
        <v>80</v>
      </c>
      <c r="C31" s="12" t="s">
        <v>85</v>
      </c>
      <c r="D31" s="14" t="s">
        <v>21</v>
      </c>
      <c r="E31" s="21"/>
      <c r="F31" s="15">
        <f>Gomchi!J31</f>
        <v>25</v>
      </c>
      <c r="G31" s="16">
        <f>KHD!J31</f>
        <v>10</v>
      </c>
      <c r="H31" s="15">
        <f>Godhi!J31</f>
        <v>21</v>
      </c>
      <c r="I31" s="15"/>
      <c r="J31" s="15">
        <f t="shared" si="3"/>
        <v>56</v>
      </c>
      <c r="K31" s="20">
        <f>Gomchi!K31+KHD!K31+Godhi!K31</f>
        <v>38</v>
      </c>
      <c r="L31" s="20">
        <f>Gomchi!L31+KHD!L31+Godhi!L31</f>
        <v>15</v>
      </c>
      <c r="M31" s="20">
        <f>Gomchi!M31+KHD!M31+Godhi!M31</f>
        <v>3</v>
      </c>
      <c r="N31" s="20">
        <f>Gomchi!N31+KHD!N31+Godhi!N31</f>
        <v>0</v>
      </c>
      <c r="O31" s="20">
        <f>Gomchi!O31+KHD!O31+Godhi!O31</f>
        <v>0</v>
      </c>
      <c r="P31" s="20">
        <f>Gomchi!P31+KHD!P31+Godhi!P31</f>
        <v>0</v>
      </c>
      <c r="Q31" s="24">
        <f>Gomchi!Q31+KHD!Q31+Godhi!Q31</f>
        <v>0</v>
      </c>
      <c r="R31" s="19">
        <f>'Master Booking Sheet'!D30</f>
        <v>0</v>
      </c>
      <c r="S31" s="19">
        <f t="shared" si="2"/>
        <v>56</v>
      </c>
    </row>
    <row r="32">
      <c r="A32" s="12">
        <v>30.0</v>
      </c>
      <c r="B32" s="13" t="s">
        <v>86</v>
      </c>
      <c r="C32" s="12" t="s">
        <v>87</v>
      </c>
      <c r="D32" s="14"/>
      <c r="E32" s="21"/>
      <c r="F32" s="15">
        <f>Gomchi!J32</f>
        <v>28</v>
      </c>
      <c r="G32" s="16">
        <f>KHD!J32</f>
        <v>19</v>
      </c>
      <c r="H32" s="15">
        <f>Godhi!J32</f>
        <v>0</v>
      </c>
      <c r="I32" s="15"/>
      <c r="J32" s="15">
        <f t="shared" si="3"/>
        <v>47</v>
      </c>
      <c r="K32" s="20">
        <f>Gomchi!K32+KHD!K32+Godhi!K32</f>
        <v>31</v>
      </c>
      <c r="L32" s="20">
        <f>Gomchi!L32+KHD!L32+Godhi!L32</f>
        <v>14</v>
      </c>
      <c r="M32" s="20">
        <f>Gomchi!M32+KHD!M32+Godhi!M32</f>
        <v>1</v>
      </c>
      <c r="N32" s="20">
        <f>Gomchi!N32+KHD!N32+Godhi!N32</f>
        <v>0</v>
      </c>
      <c r="O32" s="20">
        <f>Gomchi!O32+KHD!O32+Godhi!O32</f>
        <v>0</v>
      </c>
      <c r="P32" s="20">
        <f>Gomchi!P32+KHD!P32+Godhi!P32</f>
        <v>0</v>
      </c>
      <c r="Q32" s="24">
        <f>Gomchi!Q32+KHD!Q32+Godhi!Q32</f>
        <v>1</v>
      </c>
      <c r="R32" s="19" t="str">
        <f>'Master Booking Sheet'!D31</f>
        <v/>
      </c>
      <c r="S32" s="19">
        <f t="shared" si="2"/>
        <v>46</v>
      </c>
    </row>
    <row r="33">
      <c r="A33" s="12">
        <v>31.0</v>
      </c>
      <c r="B33" s="13" t="s">
        <v>86</v>
      </c>
      <c r="C33" s="12" t="s">
        <v>88</v>
      </c>
      <c r="D33" s="14" t="s">
        <v>75</v>
      </c>
      <c r="E33" s="21"/>
      <c r="F33" s="15">
        <f>Gomchi!J33</f>
        <v>99</v>
      </c>
      <c r="G33" s="16">
        <f>KHD!J33</f>
        <v>557</v>
      </c>
      <c r="H33" s="15">
        <f>Godhi!J33</f>
        <v>0</v>
      </c>
      <c r="I33" s="15"/>
      <c r="J33" s="15">
        <f t="shared" si="3"/>
        <v>656</v>
      </c>
      <c r="K33" s="20">
        <f>Gomchi!K33+KHD!K33+Godhi!K33</f>
        <v>226</v>
      </c>
      <c r="L33" s="20">
        <f>Gomchi!L33+KHD!L33+Godhi!L33</f>
        <v>120</v>
      </c>
      <c r="M33" s="20">
        <f>Gomchi!M33+KHD!M33+Godhi!M33</f>
        <v>109</v>
      </c>
      <c r="N33" s="20">
        <f>Gomchi!N33+KHD!N33+Godhi!N33</f>
        <v>201</v>
      </c>
      <c r="O33" s="20">
        <f>Gomchi!O33+KHD!O33+Godhi!O33</f>
        <v>0</v>
      </c>
      <c r="P33" s="20">
        <f>Gomchi!P33+KHD!P33+Godhi!P33</f>
        <v>0</v>
      </c>
      <c r="Q33" s="24">
        <f>Gomchi!Q33+KHD!Q33+Godhi!Q33</f>
        <v>0</v>
      </c>
      <c r="R33" s="19">
        <f>'Master Booking Sheet'!D32</f>
        <v>689</v>
      </c>
      <c r="S33" s="19">
        <f t="shared" si="2"/>
        <v>-33</v>
      </c>
    </row>
    <row r="34">
      <c r="A34" s="12">
        <v>32.0</v>
      </c>
      <c r="B34" s="13" t="s">
        <v>86</v>
      </c>
      <c r="C34" s="12" t="s">
        <v>89</v>
      </c>
      <c r="D34" s="14" t="s">
        <v>21</v>
      </c>
      <c r="E34" s="21"/>
      <c r="F34" s="15">
        <f>Gomchi!J34</f>
        <v>231</v>
      </c>
      <c r="G34" s="16">
        <f>KHD!J34</f>
        <v>72</v>
      </c>
      <c r="H34" s="22">
        <f>Godhi!J34</f>
        <v>0</v>
      </c>
      <c r="I34" s="15"/>
      <c r="J34" s="15">
        <f t="shared" si="3"/>
        <v>303</v>
      </c>
      <c r="K34" s="23">
        <f>Gomchi!K34+KHD!K34+Godhi!K34</f>
        <v>262</v>
      </c>
      <c r="L34" s="20">
        <f>Gomchi!L34+KHD!L34+Godhi!L34</f>
        <v>29</v>
      </c>
      <c r="M34" s="20">
        <f>Gomchi!M34+KHD!M34+Godhi!M34</f>
        <v>12</v>
      </c>
      <c r="N34" s="20">
        <f>Gomchi!N34+KHD!N34+Godhi!N34</f>
        <v>0</v>
      </c>
      <c r="O34" s="20">
        <f>Gomchi!O34+KHD!O34+Godhi!O34</f>
        <v>0</v>
      </c>
      <c r="P34" s="20">
        <f>Gomchi!P34+KHD!P34+Godhi!P34</f>
        <v>0</v>
      </c>
      <c r="Q34" s="24">
        <f>Gomchi!Q34+KHD!Q34+Godhi!Q34</f>
        <v>0</v>
      </c>
      <c r="R34" s="19">
        <f>'Master Booking Sheet'!D33</f>
        <v>834</v>
      </c>
      <c r="S34" s="19">
        <f t="shared" si="2"/>
        <v>-531</v>
      </c>
    </row>
    <row r="35">
      <c r="A35" s="12">
        <v>33.0</v>
      </c>
      <c r="B35" s="13" t="s">
        <v>86</v>
      </c>
      <c r="C35" s="12" t="s">
        <v>90</v>
      </c>
      <c r="D35" s="14" t="s">
        <v>75</v>
      </c>
      <c r="E35" s="21"/>
      <c r="F35" s="15">
        <f>Gomchi!J35</f>
        <v>2</v>
      </c>
      <c r="G35" s="16">
        <f>KHD!J35</f>
        <v>0</v>
      </c>
      <c r="H35" s="15">
        <f>Godhi!J35</f>
        <v>0</v>
      </c>
      <c r="I35" s="15"/>
      <c r="J35" s="15">
        <f t="shared" si="3"/>
        <v>2</v>
      </c>
      <c r="K35" s="20">
        <f>Gomchi!K35+KHD!K35+Godhi!K35</f>
        <v>2</v>
      </c>
      <c r="L35" s="20">
        <f>Gomchi!L35+KHD!L35+Godhi!L35</f>
        <v>0</v>
      </c>
      <c r="M35" s="20">
        <f>Gomchi!M35+KHD!M35+Godhi!M35</f>
        <v>0</v>
      </c>
      <c r="N35" s="20">
        <f>Gomchi!N35+KHD!N35+Godhi!N35</f>
        <v>0</v>
      </c>
      <c r="O35" s="20">
        <f>Gomchi!O35+KHD!O35+Godhi!O35</f>
        <v>0</v>
      </c>
      <c r="P35" s="20">
        <f>Gomchi!P35+KHD!P35+Godhi!P35</f>
        <v>0</v>
      </c>
      <c r="Q35" s="24">
        <f>Gomchi!Q35+KHD!Q35+Godhi!Q35</f>
        <v>0</v>
      </c>
      <c r="R35" s="19">
        <f>'Master Booking Sheet'!D34</f>
        <v>0</v>
      </c>
      <c r="S35" s="19">
        <f t="shared" si="2"/>
        <v>2</v>
      </c>
    </row>
    <row r="36">
      <c r="A36" s="12">
        <v>34.0</v>
      </c>
      <c r="B36" s="13" t="s">
        <v>86</v>
      </c>
      <c r="C36" s="12" t="s">
        <v>91</v>
      </c>
      <c r="D36" s="14" t="s">
        <v>21</v>
      </c>
      <c r="E36" s="21"/>
      <c r="F36" s="15">
        <f>Gomchi!J36</f>
        <v>649</v>
      </c>
      <c r="G36" s="16">
        <f>KHD!J36</f>
        <v>120</v>
      </c>
      <c r="H36" s="22">
        <f>Godhi!J36</f>
        <v>0</v>
      </c>
      <c r="I36" s="15"/>
      <c r="J36" s="15">
        <f t="shared" si="3"/>
        <v>769</v>
      </c>
      <c r="K36" s="23">
        <f>Gomchi!K36+KHD!K36+Godhi!K36</f>
        <v>620</v>
      </c>
      <c r="L36" s="20">
        <f>Gomchi!L36+KHD!L36+Godhi!L36</f>
        <v>100</v>
      </c>
      <c r="M36" s="20">
        <f>Gomchi!M36+KHD!M36+Godhi!M36</f>
        <v>49</v>
      </c>
      <c r="N36" s="20">
        <f>Gomchi!N36+KHD!N36+Godhi!N36</f>
        <v>0</v>
      </c>
      <c r="O36" s="20">
        <f>Gomchi!O36+KHD!O36+Godhi!O36</f>
        <v>0</v>
      </c>
      <c r="P36" s="20">
        <f>Gomchi!P36+KHD!P36+Godhi!P36</f>
        <v>0</v>
      </c>
      <c r="Q36" s="24">
        <f>Gomchi!Q36+KHD!Q36+Godhi!Q36</f>
        <v>0</v>
      </c>
      <c r="R36" s="19" t="str">
        <f>'Master Booking Sheet'!D35</f>
        <v/>
      </c>
      <c r="S36" s="19">
        <f t="shared" si="2"/>
        <v>769</v>
      </c>
    </row>
    <row r="37">
      <c r="A37" s="12">
        <v>35.0</v>
      </c>
      <c r="B37" s="13" t="s">
        <v>92</v>
      </c>
      <c r="C37" s="12" t="s">
        <v>93</v>
      </c>
      <c r="D37" s="14" t="s">
        <v>21</v>
      </c>
      <c r="E37" s="14" t="s">
        <v>94</v>
      </c>
      <c r="F37" s="15">
        <f>Gomchi!J37</f>
        <v>11</v>
      </c>
      <c r="G37" s="16">
        <f>KHD!J37</f>
        <v>11</v>
      </c>
      <c r="H37" s="15">
        <f>Godhi!J37</f>
        <v>15</v>
      </c>
      <c r="I37" s="15"/>
      <c r="J37" s="15">
        <f t="shared" si="3"/>
        <v>37</v>
      </c>
      <c r="K37" s="20">
        <f>Gomchi!K37+KHD!K37+Godhi!K37</f>
        <v>36</v>
      </c>
      <c r="L37" s="20">
        <f>Gomchi!L37+KHD!L37+Godhi!L37</f>
        <v>1</v>
      </c>
      <c r="M37" s="20">
        <f>Gomchi!M37+KHD!M37+Godhi!M37</f>
        <v>0</v>
      </c>
      <c r="N37" s="20">
        <f>Gomchi!N37+KHD!N37+Godhi!N37</f>
        <v>0</v>
      </c>
      <c r="O37" s="20">
        <f>Gomchi!O37+KHD!O37+Godhi!O37</f>
        <v>0</v>
      </c>
      <c r="P37" s="20">
        <f>Gomchi!P37+KHD!P37+Godhi!P37</f>
        <v>0</v>
      </c>
      <c r="Q37" s="24">
        <f>Gomchi!Q37+KHD!Q37+Godhi!Q37</f>
        <v>0</v>
      </c>
      <c r="R37" s="19" t="str">
        <f>'Master Booking Sheet'!D36</f>
        <v/>
      </c>
      <c r="S37" s="19">
        <f t="shared" si="2"/>
        <v>37</v>
      </c>
    </row>
    <row r="38">
      <c r="A38" s="12">
        <v>36.0</v>
      </c>
      <c r="B38" s="13" t="s">
        <v>92</v>
      </c>
      <c r="C38" s="12" t="s">
        <v>95</v>
      </c>
      <c r="D38" s="14" t="s">
        <v>21</v>
      </c>
      <c r="E38" s="14" t="s">
        <v>96</v>
      </c>
      <c r="F38" s="15">
        <f>Gomchi!J38</f>
        <v>279</v>
      </c>
      <c r="G38" s="16">
        <f>KHD!J38</f>
        <v>94</v>
      </c>
      <c r="H38" s="15">
        <f>Godhi!J38</f>
        <v>3</v>
      </c>
      <c r="I38" s="15"/>
      <c r="J38" s="15">
        <f t="shared" si="3"/>
        <v>376</v>
      </c>
      <c r="K38" s="20">
        <f>Gomchi!K38+KHD!K38+Godhi!K38</f>
        <v>117</v>
      </c>
      <c r="L38" s="20">
        <f>Gomchi!L38+KHD!L38+Godhi!L38</f>
        <v>50</v>
      </c>
      <c r="M38" s="20">
        <f>Gomchi!M38+KHD!M38+Godhi!M38</f>
        <v>209</v>
      </c>
      <c r="N38" s="20">
        <f>Gomchi!N38+KHD!N38+Godhi!N38</f>
        <v>0</v>
      </c>
      <c r="O38" s="20">
        <f>Gomchi!O38+KHD!O38+Godhi!O38</f>
        <v>0</v>
      </c>
      <c r="P38" s="20">
        <f>Gomchi!P38+KHD!P38+Godhi!P38</f>
        <v>0</v>
      </c>
      <c r="Q38" s="24">
        <f>Gomchi!Q38+KHD!Q38+Godhi!Q38</f>
        <v>0</v>
      </c>
      <c r="R38" s="19">
        <f>'Master Booking Sheet'!D37</f>
        <v>3080</v>
      </c>
      <c r="S38" s="19">
        <f t="shared" si="2"/>
        <v>-2704</v>
      </c>
    </row>
    <row r="39">
      <c r="A39" s="12">
        <v>37.0</v>
      </c>
      <c r="B39" s="13" t="s">
        <v>97</v>
      </c>
      <c r="C39" s="12" t="s">
        <v>98</v>
      </c>
      <c r="D39" s="14" t="s">
        <v>40</v>
      </c>
      <c r="E39" s="14" t="s">
        <v>41</v>
      </c>
      <c r="F39" s="15">
        <f>Gomchi!J39</f>
        <v>79</v>
      </c>
      <c r="G39" s="16">
        <f>KHD!J39</f>
        <v>516</v>
      </c>
      <c r="H39" s="15">
        <f>Godhi!J39</f>
        <v>95</v>
      </c>
      <c r="I39" s="15"/>
      <c r="J39" s="15">
        <f t="shared" si="3"/>
        <v>690</v>
      </c>
      <c r="K39" s="17">
        <f>Gomchi!K39+KHD!K39+Godhi!K39</f>
        <v>527</v>
      </c>
      <c r="L39" s="17">
        <f>Gomchi!L39+KHD!L39+Godhi!L39</f>
        <v>77</v>
      </c>
      <c r="M39" s="17">
        <f>Gomchi!M39+KHD!M39+Godhi!M39</f>
        <v>0</v>
      </c>
      <c r="N39" s="17">
        <f>Gomchi!N39+KHD!N39+Godhi!N39</f>
        <v>0</v>
      </c>
      <c r="O39" s="17">
        <f>Gomchi!O39+KHD!O39+Godhi!O39</f>
        <v>0</v>
      </c>
      <c r="P39" s="17">
        <f>Gomchi!P39+KHD!P39+Godhi!P39</f>
        <v>0</v>
      </c>
      <c r="Q39" s="24">
        <f>Gomchi!Q39+KHD!Q39+Godhi!Q39</f>
        <v>86</v>
      </c>
      <c r="R39" s="19">
        <f>'Master Booking Sheet'!D38</f>
        <v>141</v>
      </c>
      <c r="S39" s="19">
        <f t="shared" si="2"/>
        <v>463</v>
      </c>
    </row>
    <row r="40">
      <c r="A40" s="12">
        <v>38.0</v>
      </c>
      <c r="B40" s="13" t="s">
        <v>99</v>
      </c>
      <c r="C40" s="12" t="s">
        <v>100</v>
      </c>
      <c r="D40" s="14"/>
      <c r="E40" s="14"/>
      <c r="F40" s="15">
        <f>Gomchi!J40</f>
        <v>0</v>
      </c>
      <c r="G40" s="16">
        <f>KHD!J40</f>
        <v>0</v>
      </c>
      <c r="H40" s="15">
        <f>Godhi!J40</f>
        <v>0</v>
      </c>
      <c r="I40" s="15"/>
      <c r="J40" s="15"/>
      <c r="K40" s="17">
        <f>Gomchi!K40+KHD!K40+Godhi!K40</f>
        <v>0</v>
      </c>
      <c r="L40" s="17">
        <f>Gomchi!L40+KHD!L40+Godhi!L40</f>
        <v>0</v>
      </c>
      <c r="M40" s="17">
        <f>Gomchi!M40+KHD!M40+Godhi!M40</f>
        <v>0</v>
      </c>
      <c r="N40" s="17">
        <f>Gomchi!N40+KHD!N40+Godhi!N40</f>
        <v>0</v>
      </c>
      <c r="O40" s="17">
        <f>Gomchi!O40+KHD!O40+Godhi!O40</f>
        <v>0</v>
      </c>
      <c r="P40" s="17">
        <f>Gomchi!P40+KHD!P40+Godhi!P40</f>
        <v>0</v>
      </c>
      <c r="Q40" s="24">
        <f>Gomchi!Q40+KHD!Q40+Godhi!Q40</f>
        <v>0</v>
      </c>
      <c r="R40" s="19"/>
      <c r="S40" s="19">
        <f t="shared" si="2"/>
        <v>0</v>
      </c>
    </row>
    <row r="41">
      <c r="A41" s="12">
        <v>39.0</v>
      </c>
      <c r="B41" s="13" t="s">
        <v>99</v>
      </c>
      <c r="C41" s="12" t="s">
        <v>101</v>
      </c>
      <c r="D41" s="14" t="s">
        <v>21</v>
      </c>
      <c r="E41" s="14" t="s">
        <v>102</v>
      </c>
      <c r="F41" s="15">
        <f>Gomchi!J41</f>
        <v>27</v>
      </c>
      <c r="G41" s="16">
        <f>KHD!J41</f>
        <v>944</v>
      </c>
      <c r="H41" s="15">
        <f>Godhi!J41</f>
        <v>88</v>
      </c>
      <c r="I41" s="15"/>
      <c r="J41" s="15">
        <f t="shared" ref="J41:J44" si="4">SUM(F41:H41)</f>
        <v>1059</v>
      </c>
      <c r="K41" s="17">
        <f>Gomchi!K41+KHD!K41+Godhi!K41</f>
        <v>654</v>
      </c>
      <c r="L41" s="17">
        <f>Gomchi!L41+KHD!L41+Godhi!L41</f>
        <v>346</v>
      </c>
      <c r="M41" s="17">
        <f>Gomchi!M41+KHD!M41+Godhi!M41</f>
        <v>12</v>
      </c>
      <c r="N41" s="17">
        <f>Gomchi!N41+KHD!N41+Godhi!N41</f>
        <v>0</v>
      </c>
      <c r="O41" s="17">
        <f>Gomchi!O41+KHD!O41+Godhi!O41</f>
        <v>0</v>
      </c>
      <c r="P41" s="17">
        <f>Gomchi!P41+KHD!P41+Godhi!P41</f>
        <v>0</v>
      </c>
      <c r="Q41" s="24">
        <f>Gomchi!Q41+KHD!Q41+Godhi!Q41</f>
        <v>47</v>
      </c>
      <c r="R41" s="19">
        <f>'Master Booking Sheet'!D39</f>
        <v>24</v>
      </c>
      <c r="S41" s="19">
        <f t="shared" si="2"/>
        <v>988</v>
      </c>
    </row>
    <row r="42">
      <c r="A42" s="12">
        <v>40.0</v>
      </c>
      <c r="B42" s="13" t="s">
        <v>103</v>
      </c>
      <c r="C42" s="12" t="s">
        <v>104</v>
      </c>
      <c r="D42" s="14" t="s">
        <v>21</v>
      </c>
      <c r="E42" s="14" t="s">
        <v>105</v>
      </c>
      <c r="F42" s="15">
        <f>Gomchi!J42</f>
        <v>34695</v>
      </c>
      <c r="G42" s="16">
        <f>KHD!J42</f>
        <v>712</v>
      </c>
      <c r="H42" s="15">
        <f>Godhi!J42</f>
        <v>2816</v>
      </c>
      <c r="I42" s="15"/>
      <c r="J42" s="15">
        <f t="shared" si="4"/>
        <v>38223</v>
      </c>
      <c r="K42" s="20">
        <f>Gomchi!K42+KHD!K42+Godhi!K42</f>
        <v>2879</v>
      </c>
      <c r="L42" s="20">
        <f>Gomchi!L42+KHD!L42+Godhi!L42</f>
        <v>5000</v>
      </c>
      <c r="M42" s="20">
        <f>Gomchi!M42+KHD!M42+Godhi!M42</f>
        <v>5500</v>
      </c>
      <c r="N42" s="20">
        <f>Gomchi!N42+KHD!N42+Godhi!N42</f>
        <v>4215</v>
      </c>
      <c r="O42" s="20">
        <f>Gomchi!O42+KHD!O42+Godhi!O42</f>
        <v>6986</v>
      </c>
      <c r="P42" s="20">
        <f>Gomchi!P42+KHD!P42+Godhi!P42</f>
        <v>7621</v>
      </c>
      <c r="Q42" s="24">
        <f>Gomchi!Q42+KHD!Q42+Godhi!Q42</f>
        <v>5972</v>
      </c>
      <c r="R42" s="19">
        <f>'Master Booking Sheet'!D40</f>
        <v>7300</v>
      </c>
      <c r="S42" s="19">
        <f t="shared" si="2"/>
        <v>24951</v>
      </c>
    </row>
    <row r="43">
      <c r="A43" s="12">
        <v>41.0</v>
      </c>
      <c r="B43" s="13" t="s">
        <v>106</v>
      </c>
      <c r="C43" s="12" t="s">
        <v>107</v>
      </c>
      <c r="D43" s="14" t="s">
        <v>21</v>
      </c>
      <c r="E43" s="14" t="s">
        <v>108</v>
      </c>
      <c r="F43" s="15">
        <f>Gomchi!J43</f>
        <v>8392</v>
      </c>
      <c r="G43" s="16">
        <f>KHD!J43</f>
        <v>130</v>
      </c>
      <c r="H43" s="22">
        <f>Godhi!J43</f>
        <v>60</v>
      </c>
      <c r="I43" s="15"/>
      <c r="J43" s="15">
        <f t="shared" si="4"/>
        <v>8582</v>
      </c>
      <c r="K43" s="23">
        <f>Gomchi!K43+KHD!K43+Godhi!K43</f>
        <v>2608</v>
      </c>
      <c r="L43" s="20">
        <f>Gomchi!L43+KHD!L43+Godhi!L43</f>
        <v>550</v>
      </c>
      <c r="M43" s="20">
        <f>Gomchi!M43+KHD!M43+Godhi!M43</f>
        <v>400</v>
      </c>
      <c r="N43" s="20">
        <f>Gomchi!N43+KHD!N43+Godhi!N43</f>
        <v>500</v>
      </c>
      <c r="O43" s="20">
        <f>Gomchi!O43+KHD!O43+Godhi!O43</f>
        <v>90</v>
      </c>
      <c r="P43" s="20">
        <f>Gomchi!P43+KHD!P43+Godhi!P43</f>
        <v>162</v>
      </c>
      <c r="Q43" s="24">
        <f>Gomchi!Q43+KHD!Q43+Godhi!Q43</f>
        <v>67</v>
      </c>
      <c r="R43" s="19">
        <f>'Master Booking Sheet'!D41</f>
        <v>220</v>
      </c>
      <c r="S43" s="19">
        <f t="shared" si="2"/>
        <v>8295</v>
      </c>
    </row>
    <row r="44">
      <c r="A44" s="12">
        <v>42.0</v>
      </c>
      <c r="B44" s="13" t="s">
        <v>109</v>
      </c>
      <c r="C44" s="12" t="s">
        <v>110</v>
      </c>
      <c r="D44" s="14" t="s">
        <v>111</v>
      </c>
      <c r="E44" s="21"/>
      <c r="F44" s="15">
        <f>Gomchi!J44</f>
        <v>569</v>
      </c>
      <c r="G44" s="16">
        <f>KHD!J44</f>
        <v>76</v>
      </c>
      <c r="H44" s="15">
        <f>Godhi!J44</f>
        <v>2</v>
      </c>
      <c r="I44" s="15"/>
      <c r="J44" s="15">
        <f t="shared" si="4"/>
        <v>647</v>
      </c>
      <c r="K44" s="17">
        <f>Gomchi!K44+KHD!K44+Godhi!K44</f>
        <v>478</v>
      </c>
      <c r="L44" s="17">
        <f>Gomchi!L44+KHD!L44+Godhi!L44</f>
        <v>110</v>
      </c>
      <c r="M44" s="17">
        <f>Gomchi!M44+KHD!M44+Godhi!M44</f>
        <v>52</v>
      </c>
      <c r="N44" s="17">
        <f>Gomchi!N44+KHD!N44+Godhi!N44</f>
        <v>0</v>
      </c>
      <c r="O44" s="17">
        <f>Gomchi!O44+KHD!O44+Godhi!O44</f>
        <v>0</v>
      </c>
      <c r="P44" s="17">
        <f>Gomchi!P44+KHD!P44+Godhi!P44</f>
        <v>0</v>
      </c>
      <c r="Q44" s="24">
        <f>Gomchi!Q44+KHD!Q44+Godhi!Q44</f>
        <v>8</v>
      </c>
      <c r="R44" s="19">
        <f>'Master Booking Sheet'!D42</f>
        <v>0</v>
      </c>
      <c r="S44" s="19">
        <f t="shared" si="2"/>
        <v>639</v>
      </c>
    </row>
    <row r="45">
      <c r="A45" s="25"/>
      <c r="B45" s="25"/>
      <c r="C45" s="25"/>
      <c r="D45" s="26"/>
      <c r="E45" s="26"/>
      <c r="F45" s="15"/>
      <c r="G45" s="15"/>
      <c r="H45" s="15"/>
      <c r="I45" s="15"/>
      <c r="J45" s="15"/>
      <c r="K45" s="20"/>
      <c r="L45" s="20"/>
      <c r="M45" s="20"/>
      <c r="N45" s="20"/>
      <c r="O45" s="20"/>
      <c r="P45" s="20"/>
      <c r="Q45" s="24"/>
      <c r="R45" s="19"/>
      <c r="S45" s="19">
        <f t="shared" si="2"/>
        <v>0</v>
      </c>
    </row>
    <row r="46">
      <c r="A46" s="1"/>
      <c r="B46" s="2"/>
      <c r="C46" s="3"/>
      <c r="K46" s="4"/>
      <c r="L46" s="4"/>
      <c r="M46" s="4"/>
      <c r="N46" s="4"/>
      <c r="O46" s="4"/>
      <c r="P46" s="4"/>
      <c r="Q46" s="4"/>
      <c r="R46" s="4"/>
      <c r="S46" s="4"/>
    </row>
    <row r="47">
      <c r="A47" s="1"/>
      <c r="B47" s="2"/>
      <c r="C47" s="3"/>
      <c r="K47" s="4"/>
      <c r="L47" s="4"/>
      <c r="M47" s="4"/>
      <c r="N47" s="4"/>
      <c r="O47" s="4"/>
      <c r="P47" s="4"/>
      <c r="Q47" s="4"/>
      <c r="R47" s="4"/>
      <c r="S47" s="4"/>
    </row>
    <row r="48">
      <c r="A48" s="1"/>
      <c r="B48" s="2"/>
      <c r="C48" s="3"/>
      <c r="K48" s="4"/>
      <c r="L48" s="4"/>
      <c r="M48" s="4"/>
      <c r="N48" s="4"/>
      <c r="O48" s="4"/>
      <c r="P48" s="4"/>
      <c r="Q48" s="4"/>
      <c r="R48" s="4"/>
      <c r="S48" s="4"/>
    </row>
    <row r="49">
      <c r="A49" s="1"/>
      <c r="B49" s="2"/>
      <c r="C49" s="3"/>
      <c r="K49" s="4"/>
      <c r="L49" s="4"/>
      <c r="M49" s="4"/>
      <c r="N49" s="4"/>
      <c r="O49" s="4"/>
      <c r="P49" s="4"/>
      <c r="Q49" s="4"/>
      <c r="R49" s="4"/>
      <c r="S49" s="4"/>
    </row>
    <row r="50">
      <c r="A50" s="1"/>
      <c r="B50" s="2"/>
      <c r="C50" s="3"/>
      <c r="K50" s="4"/>
      <c r="L50" s="4"/>
      <c r="M50" s="4"/>
      <c r="N50" s="4"/>
      <c r="O50" s="4"/>
      <c r="P50" s="4"/>
      <c r="Q50" s="4"/>
      <c r="R50" s="4"/>
      <c r="S50" s="4"/>
    </row>
    <row r="51">
      <c r="A51" s="1"/>
      <c r="B51" s="2"/>
      <c r="C51" s="3"/>
      <c r="K51" s="4"/>
      <c r="L51" s="4"/>
      <c r="M51" s="4"/>
      <c r="N51" s="4"/>
      <c r="O51" s="4"/>
      <c r="P51" s="4"/>
      <c r="Q51" s="4"/>
      <c r="R51" s="4"/>
      <c r="S51" s="4"/>
    </row>
    <row r="52">
      <c r="A52" s="1"/>
      <c r="B52" s="2"/>
      <c r="C52" s="3"/>
      <c r="K52" s="4"/>
      <c r="L52" s="4"/>
      <c r="M52" s="4"/>
      <c r="N52" s="4"/>
      <c r="O52" s="4"/>
      <c r="P52" s="4"/>
      <c r="Q52" s="4"/>
      <c r="R52" s="4"/>
      <c r="S52" s="4"/>
    </row>
    <row r="53">
      <c r="A53" s="1"/>
      <c r="B53" s="2"/>
      <c r="C53" s="3"/>
      <c r="K53" s="4"/>
      <c r="L53" s="4"/>
      <c r="M53" s="4"/>
      <c r="N53" s="4"/>
      <c r="O53" s="4"/>
      <c r="P53" s="4"/>
      <c r="Q53" s="4"/>
      <c r="R53" s="4"/>
      <c r="S53" s="4"/>
    </row>
    <row r="54">
      <c r="A54" s="1"/>
      <c r="B54" s="2"/>
      <c r="C54" s="3"/>
      <c r="K54" s="4"/>
      <c r="L54" s="4"/>
      <c r="M54" s="4"/>
      <c r="N54" s="4"/>
      <c r="O54" s="4"/>
      <c r="P54" s="4"/>
      <c r="Q54" s="4"/>
      <c r="R54" s="4"/>
      <c r="S54" s="4"/>
    </row>
    <row r="55">
      <c r="A55" s="1"/>
      <c r="B55" s="2"/>
      <c r="C55" s="3"/>
      <c r="K55" s="4"/>
      <c r="L55" s="4"/>
      <c r="M55" s="4"/>
      <c r="N55" s="4"/>
      <c r="O55" s="4"/>
      <c r="P55" s="4"/>
      <c r="Q55" s="4"/>
      <c r="R55" s="4"/>
      <c r="S55" s="4"/>
    </row>
    <row r="56">
      <c r="A56" s="1"/>
      <c r="B56" s="2"/>
      <c r="C56" s="3"/>
      <c r="K56" s="4"/>
      <c r="L56" s="4"/>
      <c r="M56" s="4"/>
      <c r="N56" s="4"/>
      <c r="O56" s="4"/>
      <c r="P56" s="4"/>
      <c r="Q56" s="4"/>
      <c r="R56" s="4"/>
      <c r="S56" s="4"/>
    </row>
    <row r="57">
      <c r="A57" s="1"/>
      <c r="B57" s="2"/>
      <c r="C57" s="3"/>
      <c r="K57" s="4"/>
      <c r="L57" s="4"/>
      <c r="M57" s="4"/>
      <c r="N57" s="4"/>
      <c r="O57" s="4"/>
      <c r="P57" s="4"/>
      <c r="Q57" s="4"/>
      <c r="R57" s="4"/>
      <c r="S57" s="4"/>
    </row>
    <row r="58">
      <c r="A58" s="1"/>
      <c r="B58" s="2"/>
      <c r="C58" s="3"/>
      <c r="K58" s="4"/>
      <c r="L58" s="4"/>
      <c r="M58" s="4"/>
      <c r="N58" s="4"/>
      <c r="O58" s="4"/>
      <c r="P58" s="4"/>
      <c r="Q58" s="4"/>
      <c r="R58" s="4"/>
      <c r="S58" s="4"/>
    </row>
    <row r="59">
      <c r="A59" s="1"/>
      <c r="B59" s="2"/>
      <c r="C59" s="3"/>
      <c r="K59" s="4"/>
      <c r="L59" s="4"/>
      <c r="M59" s="4"/>
      <c r="N59" s="4"/>
      <c r="O59" s="4"/>
      <c r="P59" s="4"/>
      <c r="Q59" s="4"/>
      <c r="R59" s="4"/>
      <c r="S59" s="4"/>
    </row>
    <row r="60">
      <c r="A60" s="1"/>
      <c r="B60" s="2"/>
      <c r="C60" s="3"/>
      <c r="K60" s="4"/>
      <c r="L60" s="4"/>
      <c r="M60" s="4"/>
      <c r="N60" s="4"/>
      <c r="O60" s="4"/>
      <c r="P60" s="4"/>
      <c r="Q60" s="4"/>
      <c r="R60" s="4"/>
      <c r="S60" s="4"/>
    </row>
    <row r="61">
      <c r="A61" s="1"/>
      <c r="B61" s="2"/>
      <c r="C61" s="3"/>
      <c r="K61" s="4"/>
      <c r="L61" s="4"/>
      <c r="M61" s="4"/>
      <c r="N61" s="4"/>
      <c r="O61" s="4"/>
      <c r="P61" s="4"/>
      <c r="Q61" s="4"/>
      <c r="R61" s="4"/>
      <c r="S61" s="4"/>
    </row>
    <row r="62">
      <c r="A62" s="1"/>
      <c r="B62" s="2"/>
      <c r="C62" s="3"/>
      <c r="K62" s="4"/>
      <c r="L62" s="4"/>
      <c r="M62" s="4"/>
      <c r="N62" s="4"/>
      <c r="O62" s="4"/>
      <c r="P62" s="4"/>
      <c r="Q62" s="4"/>
      <c r="R62" s="4"/>
      <c r="S62" s="4"/>
    </row>
    <row r="63">
      <c r="A63" s="1"/>
      <c r="B63" s="2"/>
      <c r="C63" s="3"/>
      <c r="K63" s="4"/>
      <c r="L63" s="4"/>
      <c r="M63" s="4"/>
      <c r="N63" s="4"/>
      <c r="O63" s="4"/>
      <c r="P63" s="4"/>
      <c r="Q63" s="4"/>
      <c r="R63" s="4"/>
      <c r="S63" s="4"/>
    </row>
    <row r="64">
      <c r="A64" s="1"/>
      <c r="B64" s="2"/>
      <c r="C64" s="3"/>
      <c r="K64" s="4"/>
      <c r="L64" s="4"/>
      <c r="M64" s="4"/>
      <c r="N64" s="4"/>
      <c r="O64" s="4"/>
      <c r="P64" s="4"/>
      <c r="Q64" s="4"/>
      <c r="R64" s="4"/>
      <c r="S64" s="4"/>
    </row>
    <row r="65">
      <c r="A65" s="1"/>
      <c r="B65" s="2"/>
      <c r="C65" s="3"/>
      <c r="K65" s="4"/>
      <c r="L65" s="4"/>
      <c r="M65" s="4"/>
      <c r="N65" s="4"/>
      <c r="O65" s="4"/>
      <c r="P65" s="4"/>
      <c r="Q65" s="4"/>
      <c r="R65" s="4"/>
      <c r="S65" s="4"/>
    </row>
    <row r="66">
      <c r="A66" s="1"/>
      <c r="B66" s="2"/>
      <c r="C66" s="3"/>
      <c r="K66" s="4"/>
      <c r="L66" s="4"/>
      <c r="M66" s="4"/>
      <c r="N66" s="4"/>
      <c r="O66" s="4"/>
      <c r="P66" s="4"/>
      <c r="Q66" s="4"/>
      <c r="R66" s="4"/>
      <c r="S66" s="4"/>
    </row>
    <row r="67">
      <c r="A67" s="1"/>
      <c r="B67" s="2"/>
      <c r="C67" s="3"/>
      <c r="K67" s="4"/>
      <c r="L67" s="4"/>
      <c r="M67" s="4"/>
      <c r="N67" s="4"/>
      <c r="O67" s="4"/>
      <c r="P67" s="4"/>
      <c r="Q67" s="4"/>
      <c r="R67" s="4"/>
      <c r="S67" s="4"/>
    </row>
    <row r="68">
      <c r="A68" s="1"/>
      <c r="B68" s="2"/>
      <c r="C68" s="3"/>
      <c r="K68" s="4"/>
      <c r="L68" s="4"/>
      <c r="M68" s="4"/>
      <c r="N68" s="4"/>
      <c r="O68" s="4"/>
      <c r="P68" s="4"/>
      <c r="Q68" s="4"/>
      <c r="R68" s="4"/>
      <c r="S68" s="4"/>
    </row>
    <row r="69">
      <c r="A69" s="1"/>
      <c r="B69" s="2"/>
      <c r="C69" s="3"/>
      <c r="K69" s="4"/>
      <c r="L69" s="4"/>
      <c r="M69" s="4"/>
      <c r="N69" s="4"/>
      <c r="O69" s="4"/>
      <c r="P69" s="4"/>
      <c r="Q69" s="4"/>
      <c r="R69" s="4"/>
      <c r="S69" s="4"/>
    </row>
    <row r="70">
      <c r="A70" s="1"/>
      <c r="B70" s="2"/>
      <c r="C70" s="3"/>
      <c r="K70" s="4"/>
      <c r="L70" s="4"/>
      <c r="M70" s="4"/>
      <c r="N70" s="4"/>
      <c r="O70" s="4"/>
      <c r="P70" s="4"/>
      <c r="Q70" s="4"/>
      <c r="R70" s="4"/>
      <c r="S70" s="4"/>
    </row>
    <row r="71">
      <c r="A71" s="1"/>
      <c r="B71" s="2"/>
      <c r="C71" s="3"/>
      <c r="K71" s="4"/>
      <c r="L71" s="4"/>
      <c r="M71" s="4"/>
      <c r="N71" s="4"/>
      <c r="O71" s="4"/>
      <c r="P71" s="4"/>
      <c r="Q71" s="4"/>
      <c r="R71" s="4"/>
      <c r="S71" s="4"/>
    </row>
    <row r="72">
      <c r="A72" s="1"/>
      <c r="B72" s="2"/>
      <c r="C72" s="3"/>
      <c r="K72" s="4"/>
      <c r="L72" s="4"/>
      <c r="M72" s="4"/>
      <c r="N72" s="4"/>
      <c r="O72" s="4"/>
      <c r="P72" s="4"/>
      <c r="Q72" s="4"/>
      <c r="R72" s="4"/>
      <c r="S72" s="4"/>
    </row>
    <row r="73">
      <c r="A73" s="1"/>
      <c r="B73" s="2"/>
      <c r="C73" s="3"/>
      <c r="K73" s="4"/>
      <c r="L73" s="4"/>
      <c r="M73" s="4"/>
      <c r="N73" s="4"/>
      <c r="O73" s="4"/>
      <c r="P73" s="4"/>
      <c r="Q73" s="4"/>
      <c r="R73" s="4"/>
      <c r="S73" s="4"/>
    </row>
    <row r="74">
      <c r="A74" s="1"/>
      <c r="B74" s="2"/>
      <c r="C74" s="3"/>
      <c r="K74" s="4"/>
      <c r="L74" s="4"/>
      <c r="M74" s="4"/>
      <c r="N74" s="4"/>
      <c r="O74" s="4"/>
      <c r="P74" s="4"/>
      <c r="Q74" s="4"/>
      <c r="R74" s="4"/>
      <c r="S74" s="4"/>
    </row>
    <row r="75">
      <c r="A75" s="1"/>
      <c r="B75" s="2"/>
      <c r="C75" s="3"/>
      <c r="K75" s="4"/>
      <c r="L75" s="4"/>
      <c r="M75" s="4"/>
      <c r="N75" s="4"/>
      <c r="O75" s="4"/>
      <c r="P75" s="4"/>
      <c r="Q75" s="4"/>
      <c r="R75" s="4"/>
      <c r="S75" s="4"/>
    </row>
    <row r="76">
      <c r="A76" s="1"/>
      <c r="B76" s="2"/>
      <c r="C76" s="3"/>
      <c r="K76" s="4"/>
      <c r="L76" s="4"/>
      <c r="M76" s="4"/>
      <c r="N76" s="4"/>
      <c r="O76" s="4"/>
      <c r="P76" s="4"/>
      <c r="Q76" s="4"/>
      <c r="R76" s="4"/>
      <c r="S76" s="4"/>
    </row>
    <row r="77">
      <c r="A77" s="1"/>
      <c r="B77" s="2"/>
      <c r="C77" s="3"/>
      <c r="K77" s="4"/>
      <c r="L77" s="4"/>
      <c r="M77" s="4"/>
      <c r="N77" s="4"/>
      <c r="O77" s="4"/>
      <c r="P77" s="4"/>
      <c r="Q77" s="4"/>
      <c r="R77" s="4"/>
      <c r="S77" s="4"/>
    </row>
    <row r="78">
      <c r="A78" s="1"/>
      <c r="B78" s="2"/>
      <c r="C78" s="3"/>
      <c r="K78" s="4"/>
      <c r="L78" s="4"/>
      <c r="M78" s="4"/>
      <c r="N78" s="4"/>
      <c r="O78" s="4"/>
      <c r="P78" s="4"/>
      <c r="Q78" s="4"/>
      <c r="R78" s="4"/>
      <c r="S78" s="4"/>
    </row>
    <row r="79">
      <c r="A79" s="1"/>
      <c r="B79" s="2"/>
      <c r="C79" s="3"/>
      <c r="K79" s="4"/>
      <c r="L79" s="4"/>
      <c r="M79" s="4"/>
      <c r="N79" s="4"/>
      <c r="O79" s="4"/>
      <c r="P79" s="4"/>
      <c r="Q79" s="4"/>
      <c r="R79" s="4"/>
      <c r="S79" s="4"/>
    </row>
    <row r="80">
      <c r="A80" s="1"/>
      <c r="B80" s="2"/>
      <c r="C80" s="3"/>
      <c r="K80" s="4"/>
      <c r="L80" s="4"/>
      <c r="M80" s="4"/>
      <c r="N80" s="4"/>
      <c r="O80" s="4"/>
      <c r="P80" s="4"/>
      <c r="Q80" s="4"/>
      <c r="R80" s="4"/>
      <c r="S80" s="4"/>
    </row>
    <row r="81">
      <c r="A81" s="1"/>
      <c r="B81" s="2"/>
      <c r="C81" s="3"/>
      <c r="K81" s="4"/>
      <c r="L81" s="4"/>
      <c r="M81" s="4"/>
      <c r="N81" s="4"/>
      <c r="O81" s="4"/>
      <c r="P81" s="4"/>
      <c r="Q81" s="4"/>
      <c r="R81" s="4"/>
      <c r="S81" s="4"/>
    </row>
    <row r="82">
      <c r="A82" s="1"/>
      <c r="B82" s="2"/>
      <c r="C82" s="3"/>
      <c r="K82" s="4"/>
      <c r="L82" s="4"/>
      <c r="M82" s="4"/>
      <c r="N82" s="4"/>
      <c r="O82" s="4"/>
      <c r="P82" s="4"/>
      <c r="Q82" s="4"/>
      <c r="R82" s="4"/>
      <c r="S82" s="4"/>
    </row>
    <row r="83">
      <c r="A83" s="1"/>
      <c r="B83" s="2"/>
      <c r="C83" s="3"/>
      <c r="K83" s="4"/>
      <c r="L83" s="4"/>
      <c r="M83" s="4"/>
      <c r="N83" s="4"/>
      <c r="O83" s="4"/>
      <c r="P83" s="4"/>
      <c r="Q83" s="4"/>
      <c r="R83" s="4"/>
      <c r="S83" s="4"/>
    </row>
    <row r="84">
      <c r="A84" s="1"/>
      <c r="B84" s="2"/>
      <c r="C84" s="3"/>
      <c r="K84" s="4"/>
      <c r="L84" s="4"/>
      <c r="M84" s="4"/>
      <c r="N84" s="4"/>
      <c r="O84" s="4"/>
      <c r="P84" s="4"/>
      <c r="Q84" s="4"/>
      <c r="R84" s="4"/>
      <c r="S84" s="4"/>
    </row>
    <row r="85">
      <c r="A85" s="1"/>
      <c r="B85" s="2"/>
      <c r="C85" s="3"/>
      <c r="K85" s="4"/>
      <c r="L85" s="4"/>
      <c r="M85" s="4"/>
      <c r="N85" s="4"/>
      <c r="O85" s="4"/>
      <c r="P85" s="4"/>
      <c r="Q85" s="4"/>
      <c r="R85" s="4"/>
      <c r="S85" s="4"/>
    </row>
    <row r="86">
      <c r="A86" s="1"/>
      <c r="B86" s="2"/>
      <c r="C86" s="3"/>
      <c r="K86" s="4"/>
      <c r="L86" s="4"/>
      <c r="M86" s="4"/>
      <c r="N86" s="4"/>
      <c r="O86" s="4"/>
      <c r="P86" s="4"/>
      <c r="Q86" s="4"/>
      <c r="R86" s="4"/>
      <c r="S86" s="4"/>
    </row>
    <row r="87">
      <c r="A87" s="1"/>
      <c r="B87" s="2"/>
      <c r="C87" s="3"/>
      <c r="K87" s="4"/>
      <c r="L87" s="4"/>
      <c r="M87" s="4"/>
      <c r="N87" s="4"/>
      <c r="O87" s="4"/>
      <c r="P87" s="4"/>
      <c r="Q87" s="4"/>
      <c r="R87" s="4"/>
      <c r="S87" s="4"/>
    </row>
    <row r="88">
      <c r="A88" s="1"/>
      <c r="B88" s="2"/>
      <c r="C88" s="3"/>
      <c r="K88" s="4"/>
      <c r="L88" s="4"/>
      <c r="M88" s="4"/>
      <c r="N88" s="4"/>
      <c r="O88" s="4"/>
      <c r="P88" s="4"/>
      <c r="Q88" s="4"/>
      <c r="R88" s="4"/>
      <c r="S88" s="4"/>
    </row>
    <row r="89">
      <c r="A89" s="1"/>
      <c r="B89" s="2"/>
      <c r="C89" s="3"/>
      <c r="K89" s="4"/>
      <c r="L89" s="4"/>
      <c r="M89" s="4"/>
      <c r="N89" s="4"/>
      <c r="O89" s="4"/>
      <c r="P89" s="4"/>
      <c r="Q89" s="4"/>
      <c r="R89" s="4"/>
      <c r="S89" s="4"/>
    </row>
    <row r="90">
      <c r="A90" s="1"/>
      <c r="B90" s="2"/>
      <c r="C90" s="3"/>
      <c r="K90" s="4"/>
      <c r="L90" s="4"/>
      <c r="M90" s="4"/>
      <c r="N90" s="4"/>
      <c r="O90" s="4"/>
      <c r="P90" s="4"/>
      <c r="Q90" s="4"/>
      <c r="R90" s="4"/>
      <c r="S90" s="4"/>
    </row>
    <row r="91">
      <c r="A91" s="1"/>
      <c r="B91" s="2"/>
      <c r="C91" s="3"/>
      <c r="K91" s="4"/>
      <c r="L91" s="4"/>
      <c r="M91" s="4"/>
      <c r="N91" s="4"/>
      <c r="O91" s="4"/>
      <c r="P91" s="4"/>
      <c r="Q91" s="4"/>
      <c r="R91" s="4"/>
      <c r="S91" s="4"/>
    </row>
    <row r="92">
      <c r="A92" s="1"/>
      <c r="B92" s="2"/>
      <c r="C92" s="3"/>
      <c r="K92" s="4"/>
      <c r="L92" s="4"/>
      <c r="M92" s="4"/>
      <c r="N92" s="4"/>
      <c r="O92" s="4"/>
      <c r="P92" s="4"/>
      <c r="Q92" s="4"/>
      <c r="R92" s="4"/>
      <c r="S92" s="4"/>
    </row>
    <row r="93">
      <c r="A93" s="1"/>
      <c r="B93" s="2"/>
      <c r="C93" s="3"/>
      <c r="K93" s="4"/>
      <c r="L93" s="4"/>
      <c r="M93" s="4"/>
      <c r="N93" s="4"/>
      <c r="O93" s="4"/>
      <c r="P93" s="4"/>
      <c r="Q93" s="4"/>
      <c r="R93" s="4"/>
      <c r="S93" s="4"/>
    </row>
    <row r="94">
      <c r="A94" s="1"/>
      <c r="B94" s="2"/>
      <c r="C94" s="3"/>
      <c r="K94" s="4"/>
      <c r="L94" s="4"/>
      <c r="M94" s="4"/>
      <c r="N94" s="4"/>
      <c r="O94" s="4"/>
      <c r="P94" s="4"/>
      <c r="Q94" s="4"/>
      <c r="R94" s="4"/>
      <c r="S94" s="4"/>
    </row>
    <row r="95">
      <c r="A95" s="1"/>
      <c r="B95" s="2"/>
      <c r="C95" s="3"/>
      <c r="K95" s="4"/>
      <c r="L95" s="4"/>
      <c r="M95" s="4"/>
      <c r="N95" s="4"/>
      <c r="O95" s="4"/>
      <c r="P95" s="4"/>
      <c r="Q95" s="4"/>
      <c r="R95" s="4"/>
      <c r="S95" s="4"/>
    </row>
    <row r="96">
      <c r="A96" s="1"/>
      <c r="B96" s="2"/>
      <c r="C96" s="3"/>
      <c r="K96" s="4"/>
      <c r="L96" s="4"/>
      <c r="M96" s="4"/>
      <c r="N96" s="4"/>
      <c r="O96" s="4"/>
      <c r="P96" s="4"/>
      <c r="Q96" s="4"/>
      <c r="R96" s="4"/>
      <c r="S96" s="4"/>
    </row>
    <row r="97">
      <c r="A97" s="1"/>
      <c r="B97" s="2"/>
      <c r="C97" s="3"/>
      <c r="K97" s="4"/>
      <c r="L97" s="4"/>
      <c r="M97" s="4"/>
      <c r="N97" s="4"/>
      <c r="O97" s="4"/>
      <c r="P97" s="4"/>
      <c r="Q97" s="4"/>
      <c r="R97" s="4"/>
      <c r="S97" s="4"/>
    </row>
    <row r="98">
      <c r="A98" s="1"/>
      <c r="B98" s="2"/>
      <c r="C98" s="3"/>
      <c r="K98" s="4"/>
      <c r="L98" s="4"/>
      <c r="M98" s="4"/>
      <c r="N98" s="4"/>
      <c r="O98" s="4"/>
      <c r="P98" s="4"/>
      <c r="Q98" s="4"/>
      <c r="R98" s="4"/>
      <c r="S98" s="4"/>
    </row>
    <row r="99">
      <c r="A99" s="1"/>
      <c r="B99" s="2"/>
      <c r="C99" s="3"/>
      <c r="K99" s="4"/>
      <c r="L99" s="4"/>
      <c r="M99" s="4"/>
      <c r="N99" s="4"/>
      <c r="O99" s="4"/>
      <c r="P99" s="4"/>
      <c r="Q99" s="4"/>
      <c r="R99" s="4"/>
      <c r="S99" s="4"/>
    </row>
    <row r="100">
      <c r="A100" s="1"/>
      <c r="B100" s="2"/>
      <c r="C100" s="3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1"/>
      <c r="B101" s="2"/>
      <c r="C101" s="3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1"/>
      <c r="B102" s="2"/>
      <c r="C102" s="3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1"/>
      <c r="B103" s="2"/>
      <c r="C103" s="3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1"/>
      <c r="B104" s="2"/>
      <c r="C104" s="3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1"/>
      <c r="B105" s="2"/>
      <c r="C105" s="3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1"/>
      <c r="B106" s="2"/>
      <c r="C106" s="3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1"/>
      <c r="B107" s="2"/>
      <c r="C107" s="3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1"/>
      <c r="B108" s="2"/>
      <c r="C108" s="3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1"/>
      <c r="B109" s="2"/>
      <c r="C109" s="3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1"/>
      <c r="B110" s="2"/>
      <c r="C110" s="3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1"/>
      <c r="B111" s="2"/>
      <c r="C111" s="3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1"/>
      <c r="B112" s="2"/>
      <c r="C112" s="3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1"/>
      <c r="B113" s="2"/>
      <c r="C113" s="3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1"/>
      <c r="B114" s="2"/>
      <c r="C114" s="3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1"/>
      <c r="B115" s="2"/>
      <c r="C115" s="3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1"/>
      <c r="B116" s="2"/>
      <c r="C116" s="3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1"/>
      <c r="B117" s="2"/>
      <c r="C117" s="3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1"/>
      <c r="B118" s="2"/>
      <c r="C118" s="3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1"/>
      <c r="B119" s="2"/>
      <c r="C119" s="3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1"/>
      <c r="B120" s="2"/>
      <c r="C120" s="3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1"/>
      <c r="B121" s="2"/>
      <c r="C121" s="3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1"/>
      <c r="B122" s="2"/>
      <c r="C122" s="3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1"/>
      <c r="B123" s="2"/>
      <c r="C123" s="3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1"/>
      <c r="B124" s="2"/>
      <c r="C124" s="3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1"/>
      <c r="B125" s="2"/>
      <c r="C125" s="3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1"/>
      <c r="B126" s="2"/>
      <c r="C126" s="3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1"/>
      <c r="B127" s="2"/>
      <c r="C127" s="3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1"/>
      <c r="B128" s="2"/>
      <c r="C128" s="3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1"/>
      <c r="B129" s="2"/>
      <c r="C129" s="3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1"/>
      <c r="B130" s="2"/>
      <c r="C130" s="3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1"/>
      <c r="B131" s="2"/>
      <c r="C131" s="3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1"/>
      <c r="B132" s="2"/>
      <c r="C132" s="3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1"/>
      <c r="B133" s="2"/>
      <c r="C133" s="3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1"/>
      <c r="B134" s="2"/>
      <c r="C134" s="3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1"/>
      <c r="B135" s="2"/>
      <c r="C135" s="3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1"/>
      <c r="B136" s="2"/>
      <c r="C136" s="3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1"/>
      <c r="B137" s="2"/>
      <c r="C137" s="3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1"/>
      <c r="B138" s="2"/>
      <c r="C138" s="3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1"/>
      <c r="B139" s="2"/>
      <c r="C139" s="3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1"/>
      <c r="B140" s="2"/>
      <c r="C140" s="3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1"/>
      <c r="B141" s="2"/>
      <c r="C141" s="3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1"/>
      <c r="B142" s="2"/>
      <c r="C142" s="3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1"/>
      <c r="B143" s="2"/>
      <c r="C143" s="3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1"/>
      <c r="B144" s="2"/>
      <c r="C144" s="3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1"/>
      <c r="B145" s="2"/>
      <c r="C145" s="3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1"/>
      <c r="B146" s="2"/>
      <c r="C146" s="3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1"/>
      <c r="B147" s="2"/>
      <c r="C147" s="3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1"/>
      <c r="B148" s="2"/>
      <c r="C148" s="3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1"/>
      <c r="B149" s="2"/>
      <c r="C149" s="3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1"/>
      <c r="B150" s="2"/>
      <c r="C150" s="3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1"/>
      <c r="B151" s="2"/>
      <c r="C151" s="3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1"/>
      <c r="B152" s="2"/>
      <c r="C152" s="3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1"/>
      <c r="B153" s="2"/>
      <c r="C153" s="3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1"/>
      <c r="B154" s="2"/>
      <c r="C154" s="3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1"/>
      <c r="B155" s="2"/>
      <c r="C155" s="3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1"/>
      <c r="B156" s="2"/>
      <c r="C156" s="3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1"/>
      <c r="B157" s="2"/>
      <c r="C157" s="3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1"/>
      <c r="B158" s="2"/>
      <c r="C158" s="3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1"/>
      <c r="B159" s="2"/>
      <c r="C159" s="3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1"/>
      <c r="B160" s="2"/>
      <c r="C160" s="3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1"/>
      <c r="B161" s="2"/>
      <c r="C161" s="3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1"/>
      <c r="B162" s="2"/>
      <c r="C162" s="3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1"/>
      <c r="B163" s="2"/>
      <c r="C163" s="3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1"/>
      <c r="B164" s="2"/>
      <c r="C164" s="3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1"/>
      <c r="B165" s="2"/>
      <c r="C165" s="3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1"/>
      <c r="B166" s="2"/>
      <c r="C166" s="3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1"/>
      <c r="B167" s="2"/>
      <c r="C167" s="3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1"/>
      <c r="B168" s="2"/>
      <c r="C168" s="3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1"/>
      <c r="B169" s="2"/>
      <c r="C169" s="3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1"/>
      <c r="B170" s="2"/>
      <c r="C170" s="3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1"/>
      <c r="B171" s="2"/>
      <c r="C171" s="3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1"/>
      <c r="B172" s="2"/>
      <c r="C172" s="3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1"/>
      <c r="B173" s="2"/>
      <c r="C173" s="3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1"/>
      <c r="B174" s="2"/>
      <c r="C174" s="3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1"/>
      <c r="B175" s="2"/>
      <c r="C175" s="3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1"/>
      <c r="B176" s="2"/>
      <c r="C176" s="3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1"/>
      <c r="B177" s="2"/>
      <c r="C177" s="3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1"/>
      <c r="B178" s="2"/>
      <c r="C178" s="3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1"/>
      <c r="B179" s="2"/>
      <c r="C179" s="3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1"/>
      <c r="B180" s="2"/>
      <c r="C180" s="3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1"/>
      <c r="B181" s="2"/>
      <c r="C181" s="3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1"/>
      <c r="B182" s="2"/>
      <c r="C182" s="3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1"/>
      <c r="B183" s="2"/>
      <c r="C183" s="3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1"/>
      <c r="B184" s="2"/>
      <c r="C184" s="3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1"/>
      <c r="B185" s="2"/>
      <c r="C185" s="3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1"/>
      <c r="B186" s="2"/>
      <c r="C186" s="3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1"/>
      <c r="B187" s="2"/>
      <c r="C187" s="3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1"/>
      <c r="B188" s="2"/>
      <c r="C188" s="3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1"/>
      <c r="B189" s="2"/>
      <c r="C189" s="3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1"/>
      <c r="B190" s="2"/>
      <c r="C190" s="3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1"/>
      <c r="B191" s="2"/>
      <c r="C191" s="3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1"/>
      <c r="B192" s="2"/>
      <c r="C192" s="3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1"/>
      <c r="B193" s="2"/>
      <c r="C193" s="3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1"/>
      <c r="B194" s="2"/>
      <c r="C194" s="3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1"/>
      <c r="B195" s="2"/>
      <c r="C195" s="3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1"/>
      <c r="B196" s="2"/>
      <c r="C196" s="3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1"/>
      <c r="B197" s="2"/>
      <c r="C197" s="3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1"/>
      <c r="B198" s="2"/>
      <c r="C198" s="3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1"/>
      <c r="B199" s="2"/>
      <c r="C199" s="3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1"/>
      <c r="B200" s="2"/>
      <c r="C200" s="3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1"/>
      <c r="B201" s="2"/>
      <c r="C201" s="3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1"/>
      <c r="B202" s="2"/>
      <c r="C202" s="3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1"/>
      <c r="B203" s="2"/>
      <c r="C203" s="3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1"/>
      <c r="B204" s="2"/>
      <c r="C204" s="3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1"/>
      <c r="B205" s="2"/>
      <c r="C205" s="3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1"/>
      <c r="B206" s="2"/>
      <c r="C206" s="3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1"/>
      <c r="B207" s="2"/>
      <c r="C207" s="3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1"/>
      <c r="B208" s="2"/>
      <c r="C208" s="3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1"/>
      <c r="B209" s="2"/>
      <c r="C209" s="3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1"/>
      <c r="B210" s="2"/>
      <c r="C210" s="3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1"/>
      <c r="B211" s="2"/>
      <c r="C211" s="3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1"/>
      <c r="B212" s="2"/>
      <c r="C212" s="3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1"/>
      <c r="B213" s="2"/>
      <c r="C213" s="3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1"/>
      <c r="B214" s="2"/>
      <c r="C214" s="3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1"/>
      <c r="B215" s="2"/>
      <c r="C215" s="3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1"/>
      <c r="B216" s="2"/>
      <c r="C216" s="3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1"/>
      <c r="B217" s="2"/>
      <c r="C217" s="3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1"/>
      <c r="B218" s="2"/>
      <c r="C218" s="3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1"/>
      <c r="B219" s="2"/>
      <c r="C219" s="3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1"/>
      <c r="B220" s="2"/>
      <c r="C220" s="3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1"/>
      <c r="B221" s="2"/>
      <c r="C221" s="3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1"/>
      <c r="B222" s="2"/>
      <c r="C222" s="3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1"/>
      <c r="B223" s="2"/>
      <c r="C223" s="3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1"/>
      <c r="B224" s="2"/>
      <c r="C224" s="3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1"/>
      <c r="B225" s="2"/>
      <c r="C225" s="3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1"/>
      <c r="B226" s="2"/>
      <c r="C226" s="3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1"/>
      <c r="B227" s="2"/>
      <c r="C227" s="3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1"/>
      <c r="B228" s="2"/>
      <c r="C228" s="3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1"/>
      <c r="B229" s="2"/>
      <c r="C229" s="3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1"/>
      <c r="B230" s="2"/>
      <c r="C230" s="3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1"/>
      <c r="B231" s="2"/>
      <c r="C231" s="3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1"/>
      <c r="B232" s="2"/>
      <c r="C232" s="3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1"/>
      <c r="B233" s="2"/>
      <c r="C233" s="3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1"/>
      <c r="B234" s="2"/>
      <c r="C234" s="3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1"/>
      <c r="B235" s="2"/>
      <c r="C235" s="3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1"/>
      <c r="B236" s="2"/>
      <c r="C236" s="3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1"/>
      <c r="B237" s="2"/>
      <c r="C237" s="3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1"/>
      <c r="B238" s="2"/>
      <c r="C238" s="3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1"/>
      <c r="B239" s="2"/>
      <c r="C239" s="3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1"/>
      <c r="B240" s="2"/>
      <c r="C240" s="3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1"/>
      <c r="B241" s="2"/>
      <c r="C241" s="3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1"/>
      <c r="B242" s="2"/>
      <c r="C242" s="3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1"/>
      <c r="B243" s="2"/>
      <c r="C243" s="3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1"/>
      <c r="B244" s="2"/>
      <c r="C244" s="3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1"/>
      <c r="B245" s="2"/>
      <c r="C245" s="3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1"/>
      <c r="B246" s="2"/>
      <c r="C246" s="3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1"/>
      <c r="B247" s="2"/>
      <c r="C247" s="3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1"/>
      <c r="B248" s="2"/>
      <c r="C248" s="3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1"/>
      <c r="B249" s="2"/>
      <c r="C249" s="3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1"/>
      <c r="B250" s="2"/>
      <c r="C250" s="3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1"/>
      <c r="B251" s="2"/>
      <c r="C251" s="3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1"/>
      <c r="B252" s="2"/>
      <c r="C252" s="3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1"/>
      <c r="B253" s="2"/>
      <c r="C253" s="3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1"/>
      <c r="B254" s="2"/>
      <c r="C254" s="3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1"/>
      <c r="B255" s="2"/>
      <c r="C255" s="3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1"/>
      <c r="B256" s="2"/>
      <c r="C256" s="3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1"/>
      <c r="B257" s="2"/>
      <c r="C257" s="3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1"/>
      <c r="B258" s="2"/>
      <c r="C258" s="3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1"/>
      <c r="B259" s="2"/>
      <c r="C259" s="3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1"/>
      <c r="B260" s="2"/>
      <c r="C260" s="3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1"/>
      <c r="B261" s="2"/>
      <c r="C261" s="3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1"/>
      <c r="B262" s="2"/>
      <c r="C262" s="3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1"/>
      <c r="B263" s="2"/>
      <c r="C263" s="3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1"/>
      <c r="B264" s="2"/>
      <c r="C264" s="3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1"/>
      <c r="B265" s="2"/>
      <c r="C265" s="3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1"/>
      <c r="B266" s="2"/>
      <c r="C266" s="3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1"/>
      <c r="B267" s="2"/>
      <c r="C267" s="3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1"/>
      <c r="B268" s="2"/>
      <c r="C268" s="3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1"/>
      <c r="B269" s="2"/>
      <c r="C269" s="3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1"/>
      <c r="B270" s="2"/>
      <c r="C270" s="3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1"/>
      <c r="B271" s="2"/>
      <c r="C271" s="3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1"/>
      <c r="B272" s="2"/>
      <c r="C272" s="3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1"/>
      <c r="B273" s="2"/>
      <c r="C273" s="3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1"/>
      <c r="B274" s="2"/>
      <c r="C274" s="3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1"/>
      <c r="B275" s="2"/>
      <c r="C275" s="3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1"/>
      <c r="B276" s="2"/>
      <c r="C276" s="3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1"/>
      <c r="B277" s="2"/>
      <c r="C277" s="3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1"/>
      <c r="B278" s="2"/>
      <c r="C278" s="3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1"/>
      <c r="B279" s="2"/>
      <c r="C279" s="3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1"/>
      <c r="B280" s="2"/>
      <c r="C280" s="3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1"/>
      <c r="B281" s="2"/>
      <c r="C281" s="3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1"/>
      <c r="B282" s="2"/>
      <c r="C282" s="3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1"/>
      <c r="B283" s="2"/>
      <c r="C283" s="3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1"/>
      <c r="B284" s="2"/>
      <c r="C284" s="3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1"/>
      <c r="B285" s="2"/>
      <c r="C285" s="3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1"/>
      <c r="B286" s="2"/>
      <c r="C286" s="3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1"/>
      <c r="B287" s="2"/>
      <c r="C287" s="3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1"/>
      <c r="B288" s="2"/>
      <c r="C288" s="3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1"/>
      <c r="B289" s="2"/>
      <c r="C289" s="3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1"/>
      <c r="B290" s="2"/>
      <c r="C290" s="3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1"/>
      <c r="B291" s="2"/>
      <c r="C291" s="3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1"/>
      <c r="B292" s="2"/>
      <c r="C292" s="3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1"/>
      <c r="B293" s="2"/>
      <c r="C293" s="3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1"/>
      <c r="B294" s="2"/>
      <c r="C294" s="3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1"/>
      <c r="B295" s="2"/>
      <c r="C295" s="3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1"/>
      <c r="B296" s="2"/>
      <c r="C296" s="3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1"/>
      <c r="B297" s="2"/>
      <c r="C297" s="3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1"/>
      <c r="B298" s="2"/>
      <c r="C298" s="3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1"/>
      <c r="B299" s="2"/>
      <c r="C299" s="3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1"/>
      <c r="B300" s="2"/>
      <c r="C300" s="3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1"/>
      <c r="B301" s="2"/>
      <c r="C301" s="3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1"/>
      <c r="B302" s="2"/>
      <c r="C302" s="3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1"/>
      <c r="B303" s="2"/>
      <c r="C303" s="3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1"/>
      <c r="B304" s="2"/>
      <c r="C304" s="3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1"/>
      <c r="B305" s="2"/>
      <c r="C305" s="3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1"/>
      <c r="B306" s="2"/>
      <c r="C306" s="3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1"/>
      <c r="B307" s="2"/>
      <c r="C307" s="3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1"/>
      <c r="B308" s="2"/>
      <c r="C308" s="3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1"/>
      <c r="B309" s="2"/>
      <c r="C309" s="3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1"/>
      <c r="B310" s="2"/>
      <c r="C310" s="3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1"/>
      <c r="B311" s="2"/>
      <c r="C311" s="3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1"/>
      <c r="B312" s="2"/>
      <c r="C312" s="3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1"/>
      <c r="B313" s="2"/>
      <c r="C313" s="3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1"/>
      <c r="B314" s="2"/>
      <c r="C314" s="3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1"/>
      <c r="B315" s="2"/>
      <c r="C315" s="3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1"/>
      <c r="B316" s="2"/>
      <c r="C316" s="3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1"/>
      <c r="B317" s="2"/>
      <c r="C317" s="3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1"/>
      <c r="B318" s="2"/>
      <c r="C318" s="3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1"/>
      <c r="B319" s="2"/>
      <c r="C319" s="3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1"/>
      <c r="B320" s="2"/>
      <c r="C320" s="3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1"/>
      <c r="B321" s="2"/>
      <c r="C321" s="3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1"/>
      <c r="B322" s="2"/>
      <c r="C322" s="3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1"/>
      <c r="B323" s="2"/>
      <c r="C323" s="3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1"/>
      <c r="B324" s="2"/>
      <c r="C324" s="3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1"/>
      <c r="B325" s="2"/>
      <c r="C325" s="3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1"/>
      <c r="B326" s="2"/>
      <c r="C326" s="3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1"/>
      <c r="B327" s="2"/>
      <c r="C327" s="3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1"/>
      <c r="B328" s="2"/>
      <c r="C328" s="3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1"/>
      <c r="B329" s="2"/>
      <c r="C329" s="3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1"/>
      <c r="B330" s="2"/>
      <c r="C330" s="3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1"/>
      <c r="B331" s="2"/>
      <c r="C331" s="3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1"/>
      <c r="B332" s="2"/>
      <c r="C332" s="3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1"/>
      <c r="B333" s="2"/>
      <c r="C333" s="3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1"/>
      <c r="B334" s="2"/>
      <c r="C334" s="3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1"/>
      <c r="B335" s="2"/>
      <c r="C335" s="3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1"/>
      <c r="B336" s="2"/>
      <c r="C336" s="3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1"/>
      <c r="B337" s="2"/>
      <c r="C337" s="3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1"/>
      <c r="B338" s="2"/>
      <c r="C338" s="3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1"/>
      <c r="B339" s="2"/>
      <c r="C339" s="3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1"/>
      <c r="B340" s="2"/>
      <c r="C340" s="3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1"/>
      <c r="B341" s="2"/>
      <c r="C341" s="3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1"/>
      <c r="B342" s="2"/>
      <c r="C342" s="3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1"/>
      <c r="B343" s="2"/>
      <c r="C343" s="3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1"/>
      <c r="B344" s="2"/>
      <c r="C344" s="3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1"/>
      <c r="B345" s="2"/>
      <c r="C345" s="3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1"/>
      <c r="B346" s="2"/>
      <c r="C346" s="3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1"/>
      <c r="B347" s="2"/>
      <c r="C347" s="3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1"/>
      <c r="B348" s="2"/>
      <c r="C348" s="3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1"/>
      <c r="B349" s="2"/>
      <c r="C349" s="3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1"/>
      <c r="B350" s="2"/>
      <c r="C350" s="3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1"/>
      <c r="B351" s="2"/>
      <c r="C351" s="3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1"/>
      <c r="B352" s="2"/>
      <c r="C352" s="3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1"/>
      <c r="B353" s="2"/>
      <c r="C353" s="3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1"/>
      <c r="B354" s="2"/>
      <c r="C354" s="3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1"/>
      <c r="B355" s="2"/>
      <c r="C355" s="3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1"/>
      <c r="B356" s="2"/>
      <c r="C356" s="3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1"/>
      <c r="B357" s="2"/>
      <c r="C357" s="3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1"/>
      <c r="B358" s="2"/>
      <c r="C358" s="3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1"/>
      <c r="B359" s="2"/>
      <c r="C359" s="3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1"/>
      <c r="B360" s="2"/>
      <c r="C360" s="3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1"/>
      <c r="B361" s="2"/>
      <c r="C361" s="3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1"/>
      <c r="B362" s="2"/>
      <c r="C362" s="3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1"/>
      <c r="B363" s="2"/>
      <c r="C363" s="3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1"/>
      <c r="B364" s="2"/>
      <c r="C364" s="3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1"/>
      <c r="B365" s="2"/>
      <c r="C365" s="3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1"/>
      <c r="B366" s="2"/>
      <c r="C366" s="3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1"/>
      <c r="B367" s="2"/>
      <c r="C367" s="3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1"/>
      <c r="B368" s="2"/>
      <c r="C368" s="3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1"/>
      <c r="B369" s="2"/>
      <c r="C369" s="3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1"/>
      <c r="B370" s="2"/>
      <c r="C370" s="3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1"/>
      <c r="B371" s="2"/>
      <c r="C371" s="3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1"/>
      <c r="B372" s="2"/>
      <c r="C372" s="3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1"/>
      <c r="B373" s="2"/>
      <c r="C373" s="3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1"/>
      <c r="B374" s="2"/>
      <c r="C374" s="3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1"/>
      <c r="B375" s="2"/>
      <c r="C375" s="3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1"/>
      <c r="B376" s="2"/>
      <c r="C376" s="3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1"/>
      <c r="B377" s="2"/>
      <c r="C377" s="3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1"/>
      <c r="B378" s="2"/>
      <c r="C378" s="3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1"/>
      <c r="B379" s="2"/>
      <c r="C379" s="3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1"/>
      <c r="B380" s="2"/>
      <c r="C380" s="3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1"/>
      <c r="B381" s="2"/>
      <c r="C381" s="3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1"/>
      <c r="B382" s="2"/>
      <c r="C382" s="3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1"/>
      <c r="B383" s="2"/>
      <c r="C383" s="3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1"/>
      <c r="B384" s="2"/>
      <c r="C384" s="3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1"/>
      <c r="B385" s="2"/>
      <c r="C385" s="3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1"/>
      <c r="B386" s="2"/>
      <c r="C386" s="3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1"/>
      <c r="B387" s="2"/>
      <c r="C387" s="3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1"/>
      <c r="B388" s="2"/>
      <c r="C388" s="3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1"/>
      <c r="B389" s="2"/>
      <c r="C389" s="3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1"/>
      <c r="B390" s="2"/>
      <c r="C390" s="3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1"/>
      <c r="B391" s="2"/>
      <c r="C391" s="3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1"/>
      <c r="B392" s="2"/>
      <c r="C392" s="3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1"/>
      <c r="B393" s="2"/>
      <c r="C393" s="3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1"/>
      <c r="B394" s="2"/>
      <c r="C394" s="3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1"/>
      <c r="B395" s="2"/>
      <c r="C395" s="3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1"/>
      <c r="B396" s="2"/>
      <c r="C396" s="3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1"/>
      <c r="B397" s="2"/>
      <c r="C397" s="3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1"/>
      <c r="B398" s="2"/>
      <c r="C398" s="3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1"/>
      <c r="B399" s="2"/>
      <c r="C399" s="3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1"/>
      <c r="B400" s="2"/>
      <c r="C400" s="3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1"/>
      <c r="B401" s="2"/>
      <c r="C401" s="3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1"/>
      <c r="B402" s="2"/>
      <c r="C402" s="3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1"/>
      <c r="B403" s="2"/>
      <c r="C403" s="3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1"/>
      <c r="B404" s="2"/>
      <c r="C404" s="3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1"/>
      <c r="B405" s="2"/>
      <c r="C405" s="3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1"/>
      <c r="B406" s="2"/>
      <c r="C406" s="3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1"/>
      <c r="B407" s="2"/>
      <c r="C407" s="3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1"/>
      <c r="B408" s="2"/>
      <c r="C408" s="3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1"/>
      <c r="B409" s="2"/>
      <c r="C409" s="3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1"/>
      <c r="B410" s="2"/>
      <c r="C410" s="3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1"/>
      <c r="B411" s="2"/>
      <c r="C411" s="3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1"/>
      <c r="B412" s="2"/>
      <c r="C412" s="3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1"/>
      <c r="B413" s="2"/>
      <c r="C413" s="3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1"/>
      <c r="B414" s="2"/>
      <c r="C414" s="3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1"/>
      <c r="B415" s="2"/>
      <c r="C415" s="3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1"/>
      <c r="B416" s="2"/>
      <c r="C416" s="3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1"/>
      <c r="B417" s="2"/>
      <c r="C417" s="3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1"/>
      <c r="B418" s="2"/>
      <c r="C418" s="3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1"/>
      <c r="B419" s="2"/>
      <c r="C419" s="3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1"/>
      <c r="B420" s="2"/>
      <c r="C420" s="3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1"/>
      <c r="B421" s="2"/>
      <c r="C421" s="3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1"/>
      <c r="B422" s="2"/>
      <c r="C422" s="3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1"/>
      <c r="B423" s="2"/>
      <c r="C423" s="3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1"/>
      <c r="B424" s="2"/>
      <c r="C424" s="3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1"/>
      <c r="B425" s="2"/>
      <c r="C425" s="3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1"/>
      <c r="B426" s="2"/>
      <c r="C426" s="3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1"/>
      <c r="B427" s="2"/>
      <c r="C427" s="3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1"/>
      <c r="B428" s="2"/>
      <c r="C428" s="3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1"/>
      <c r="B429" s="2"/>
      <c r="C429" s="3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1"/>
      <c r="B430" s="2"/>
      <c r="C430" s="3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1"/>
      <c r="B431" s="2"/>
      <c r="C431" s="3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1"/>
      <c r="B432" s="2"/>
      <c r="C432" s="3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1"/>
      <c r="B433" s="2"/>
      <c r="C433" s="3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1"/>
      <c r="B434" s="2"/>
      <c r="C434" s="3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1"/>
      <c r="B435" s="2"/>
      <c r="C435" s="3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1"/>
      <c r="B436" s="2"/>
      <c r="C436" s="3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1"/>
      <c r="B437" s="2"/>
      <c r="C437" s="3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1"/>
      <c r="B438" s="2"/>
      <c r="C438" s="3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1"/>
      <c r="B439" s="2"/>
      <c r="C439" s="3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1"/>
      <c r="B440" s="2"/>
      <c r="C440" s="3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1"/>
      <c r="B441" s="2"/>
      <c r="C441" s="3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1"/>
      <c r="B442" s="2"/>
      <c r="C442" s="3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1"/>
      <c r="B443" s="2"/>
      <c r="C443" s="3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1"/>
      <c r="B444" s="2"/>
      <c r="C444" s="3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1"/>
      <c r="B445" s="2"/>
      <c r="C445" s="3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1"/>
      <c r="B446" s="2"/>
      <c r="C446" s="3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1"/>
      <c r="B447" s="2"/>
      <c r="C447" s="3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1"/>
      <c r="B448" s="2"/>
      <c r="C448" s="3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1"/>
      <c r="B449" s="2"/>
      <c r="C449" s="3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1"/>
      <c r="B450" s="2"/>
      <c r="C450" s="3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1"/>
      <c r="B451" s="2"/>
      <c r="C451" s="3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1"/>
      <c r="B452" s="2"/>
      <c r="C452" s="3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1"/>
      <c r="B453" s="2"/>
      <c r="C453" s="3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1"/>
      <c r="B454" s="2"/>
      <c r="C454" s="3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1"/>
      <c r="B455" s="2"/>
      <c r="C455" s="3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1"/>
      <c r="B456" s="2"/>
      <c r="C456" s="3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1"/>
      <c r="B457" s="2"/>
      <c r="C457" s="3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1"/>
      <c r="B458" s="2"/>
      <c r="C458" s="3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1"/>
      <c r="B459" s="2"/>
      <c r="C459" s="3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1"/>
      <c r="B460" s="2"/>
      <c r="C460" s="3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1"/>
      <c r="B461" s="2"/>
      <c r="C461" s="3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1"/>
      <c r="B462" s="2"/>
      <c r="C462" s="3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1"/>
      <c r="B463" s="2"/>
      <c r="C463" s="3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1"/>
      <c r="B464" s="2"/>
      <c r="C464" s="3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1"/>
      <c r="B465" s="2"/>
      <c r="C465" s="3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1"/>
      <c r="B466" s="2"/>
      <c r="C466" s="3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1"/>
      <c r="B467" s="2"/>
      <c r="C467" s="3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1"/>
      <c r="B468" s="2"/>
      <c r="C468" s="3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1"/>
      <c r="B469" s="2"/>
      <c r="C469" s="3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1"/>
      <c r="B470" s="2"/>
      <c r="C470" s="3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1"/>
      <c r="B471" s="2"/>
      <c r="C471" s="3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1"/>
      <c r="B472" s="2"/>
      <c r="C472" s="3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1"/>
      <c r="B473" s="2"/>
      <c r="C473" s="3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1"/>
      <c r="B474" s="2"/>
      <c r="C474" s="3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1"/>
      <c r="B475" s="2"/>
      <c r="C475" s="3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1"/>
      <c r="B476" s="2"/>
      <c r="C476" s="3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1"/>
      <c r="B477" s="2"/>
      <c r="C477" s="3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1"/>
      <c r="B478" s="2"/>
      <c r="C478" s="3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1"/>
      <c r="B479" s="2"/>
      <c r="C479" s="3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1"/>
      <c r="B480" s="2"/>
      <c r="C480" s="3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1"/>
      <c r="B481" s="2"/>
      <c r="C481" s="3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1"/>
      <c r="B482" s="2"/>
      <c r="C482" s="3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1"/>
      <c r="B483" s="2"/>
      <c r="C483" s="3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1"/>
      <c r="B484" s="2"/>
      <c r="C484" s="3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1"/>
      <c r="B485" s="2"/>
      <c r="C485" s="3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1"/>
      <c r="B486" s="2"/>
      <c r="C486" s="3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1"/>
      <c r="B487" s="2"/>
      <c r="C487" s="3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1"/>
      <c r="B488" s="2"/>
      <c r="C488" s="3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1"/>
      <c r="B489" s="2"/>
      <c r="C489" s="3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1"/>
      <c r="B490" s="2"/>
      <c r="C490" s="3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1"/>
      <c r="B491" s="2"/>
      <c r="C491" s="3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1"/>
      <c r="B492" s="2"/>
      <c r="C492" s="3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1"/>
      <c r="B493" s="2"/>
      <c r="C493" s="3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1"/>
      <c r="B494" s="2"/>
      <c r="C494" s="3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1"/>
      <c r="B495" s="2"/>
      <c r="C495" s="3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1"/>
      <c r="B496" s="2"/>
      <c r="C496" s="3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1"/>
      <c r="B497" s="2"/>
      <c r="C497" s="3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1"/>
      <c r="B498" s="2"/>
      <c r="C498" s="3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1"/>
      <c r="B499" s="2"/>
      <c r="C499" s="3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1"/>
      <c r="B500" s="2"/>
      <c r="C500" s="3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1"/>
      <c r="B501" s="2"/>
      <c r="C501" s="3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1"/>
      <c r="B502" s="2"/>
      <c r="C502" s="3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1"/>
      <c r="B503" s="2"/>
      <c r="C503" s="3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1"/>
      <c r="B504" s="2"/>
      <c r="C504" s="3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1"/>
      <c r="B505" s="2"/>
      <c r="C505" s="3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1"/>
      <c r="B506" s="2"/>
      <c r="C506" s="3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1"/>
      <c r="B507" s="2"/>
      <c r="C507" s="3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1"/>
      <c r="B508" s="2"/>
      <c r="C508" s="3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1"/>
      <c r="B509" s="2"/>
      <c r="C509" s="3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1"/>
      <c r="B510" s="2"/>
      <c r="C510" s="3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1"/>
      <c r="B511" s="2"/>
      <c r="C511" s="3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1"/>
      <c r="B512" s="2"/>
      <c r="C512" s="3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1"/>
      <c r="B513" s="2"/>
      <c r="C513" s="3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1"/>
      <c r="B514" s="2"/>
      <c r="C514" s="3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1"/>
      <c r="B515" s="2"/>
      <c r="C515" s="3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1"/>
      <c r="B516" s="2"/>
      <c r="C516" s="3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1"/>
      <c r="B517" s="2"/>
      <c r="C517" s="3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1"/>
      <c r="B518" s="2"/>
      <c r="C518" s="3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1"/>
      <c r="B519" s="2"/>
      <c r="C519" s="3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1"/>
      <c r="B520" s="2"/>
      <c r="C520" s="3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1"/>
      <c r="B521" s="2"/>
      <c r="C521" s="3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1"/>
      <c r="B522" s="2"/>
      <c r="C522" s="3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1"/>
      <c r="B523" s="2"/>
      <c r="C523" s="3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1"/>
      <c r="B524" s="2"/>
      <c r="C524" s="3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1"/>
      <c r="B525" s="2"/>
      <c r="C525" s="3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1"/>
      <c r="B526" s="2"/>
      <c r="C526" s="3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1"/>
      <c r="B527" s="2"/>
      <c r="C527" s="3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1"/>
      <c r="B528" s="2"/>
      <c r="C528" s="3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1"/>
      <c r="B529" s="2"/>
      <c r="C529" s="3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1"/>
      <c r="B530" s="2"/>
      <c r="C530" s="3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1"/>
      <c r="B531" s="2"/>
      <c r="C531" s="3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1"/>
      <c r="B532" s="2"/>
      <c r="C532" s="3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1"/>
      <c r="B533" s="2"/>
      <c r="C533" s="3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1"/>
      <c r="B534" s="2"/>
      <c r="C534" s="3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1"/>
      <c r="B535" s="2"/>
      <c r="C535" s="3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1"/>
      <c r="B536" s="2"/>
      <c r="C536" s="3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1"/>
      <c r="B537" s="2"/>
      <c r="C537" s="3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1"/>
      <c r="B538" s="2"/>
      <c r="C538" s="3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1"/>
      <c r="B539" s="2"/>
      <c r="C539" s="3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1"/>
      <c r="B540" s="2"/>
      <c r="C540" s="3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1"/>
      <c r="B541" s="2"/>
      <c r="C541" s="3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1"/>
      <c r="B542" s="2"/>
      <c r="C542" s="3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1"/>
      <c r="B543" s="2"/>
      <c r="C543" s="3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1"/>
      <c r="B544" s="2"/>
      <c r="C544" s="3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1"/>
      <c r="B545" s="2"/>
      <c r="C545" s="3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1"/>
      <c r="B546" s="2"/>
      <c r="C546" s="3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1"/>
      <c r="B547" s="2"/>
      <c r="C547" s="3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1"/>
      <c r="B548" s="2"/>
      <c r="C548" s="3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1"/>
      <c r="B549" s="2"/>
      <c r="C549" s="3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1"/>
      <c r="B550" s="2"/>
      <c r="C550" s="3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1"/>
      <c r="B551" s="2"/>
      <c r="C551" s="3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1"/>
      <c r="B552" s="2"/>
      <c r="C552" s="3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1"/>
      <c r="B553" s="2"/>
      <c r="C553" s="3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1"/>
      <c r="B554" s="2"/>
      <c r="C554" s="3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1"/>
      <c r="B555" s="2"/>
      <c r="C555" s="3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1"/>
      <c r="B556" s="2"/>
      <c r="C556" s="3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1"/>
      <c r="B557" s="2"/>
      <c r="C557" s="3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1"/>
      <c r="B558" s="2"/>
      <c r="C558" s="3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1"/>
      <c r="B559" s="2"/>
      <c r="C559" s="3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1"/>
      <c r="B560" s="2"/>
      <c r="C560" s="3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1"/>
      <c r="B561" s="2"/>
      <c r="C561" s="3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1"/>
      <c r="B562" s="2"/>
      <c r="C562" s="3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1"/>
      <c r="B563" s="2"/>
      <c r="C563" s="3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1"/>
      <c r="B564" s="2"/>
      <c r="C564" s="3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1"/>
      <c r="B565" s="2"/>
      <c r="C565" s="3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1"/>
      <c r="B566" s="2"/>
      <c r="C566" s="3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1"/>
      <c r="B567" s="2"/>
      <c r="C567" s="3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1"/>
      <c r="B568" s="2"/>
      <c r="C568" s="3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1"/>
      <c r="B569" s="2"/>
      <c r="C569" s="3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1"/>
      <c r="B570" s="2"/>
      <c r="C570" s="3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1"/>
      <c r="B571" s="2"/>
      <c r="C571" s="3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1"/>
      <c r="B572" s="2"/>
      <c r="C572" s="3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1"/>
      <c r="B573" s="2"/>
      <c r="C573" s="3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1"/>
      <c r="B574" s="2"/>
      <c r="C574" s="3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1"/>
      <c r="B575" s="2"/>
      <c r="C575" s="3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1"/>
      <c r="B576" s="2"/>
      <c r="C576" s="3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1"/>
      <c r="B577" s="2"/>
      <c r="C577" s="3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1"/>
      <c r="B578" s="2"/>
      <c r="C578" s="3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1"/>
      <c r="B579" s="2"/>
      <c r="C579" s="3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1"/>
      <c r="B580" s="2"/>
      <c r="C580" s="3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1"/>
      <c r="B581" s="2"/>
      <c r="C581" s="3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1"/>
      <c r="B582" s="2"/>
      <c r="C582" s="3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1"/>
      <c r="B583" s="2"/>
      <c r="C583" s="3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1"/>
      <c r="B584" s="2"/>
      <c r="C584" s="3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1"/>
      <c r="B585" s="2"/>
      <c r="C585" s="3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1"/>
      <c r="B586" s="2"/>
      <c r="C586" s="3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1"/>
      <c r="B587" s="2"/>
      <c r="C587" s="3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1"/>
      <c r="B588" s="2"/>
      <c r="C588" s="3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1"/>
      <c r="B589" s="2"/>
      <c r="C589" s="3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1"/>
      <c r="B590" s="2"/>
      <c r="C590" s="3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1"/>
      <c r="B591" s="2"/>
      <c r="C591" s="3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1"/>
      <c r="B592" s="2"/>
      <c r="C592" s="3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1"/>
      <c r="B593" s="2"/>
      <c r="C593" s="3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1"/>
      <c r="B594" s="2"/>
      <c r="C594" s="3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1"/>
      <c r="B595" s="2"/>
      <c r="C595" s="3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1"/>
      <c r="B596" s="2"/>
      <c r="C596" s="3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1"/>
      <c r="B597" s="2"/>
      <c r="C597" s="3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1"/>
      <c r="B598" s="2"/>
      <c r="C598" s="3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1"/>
      <c r="B599" s="2"/>
      <c r="C599" s="3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1"/>
      <c r="B600" s="2"/>
      <c r="C600" s="3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1"/>
      <c r="B601" s="2"/>
      <c r="C601" s="3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1"/>
      <c r="B602" s="2"/>
      <c r="C602" s="3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1"/>
      <c r="B603" s="2"/>
      <c r="C603" s="3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1"/>
      <c r="B604" s="2"/>
      <c r="C604" s="3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1"/>
      <c r="B605" s="2"/>
      <c r="C605" s="3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1"/>
      <c r="B606" s="2"/>
      <c r="C606" s="3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1"/>
      <c r="B607" s="2"/>
      <c r="C607" s="3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1"/>
      <c r="B608" s="2"/>
      <c r="C608" s="3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1"/>
      <c r="B609" s="2"/>
      <c r="C609" s="3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1"/>
      <c r="B610" s="2"/>
      <c r="C610" s="3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1"/>
      <c r="B611" s="2"/>
      <c r="C611" s="3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1"/>
      <c r="B612" s="2"/>
      <c r="C612" s="3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1"/>
      <c r="B613" s="2"/>
      <c r="C613" s="3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1"/>
      <c r="B614" s="2"/>
      <c r="C614" s="3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1"/>
      <c r="B615" s="2"/>
      <c r="C615" s="3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1"/>
      <c r="B616" s="2"/>
      <c r="C616" s="3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1"/>
      <c r="B617" s="2"/>
      <c r="C617" s="3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1"/>
      <c r="B618" s="2"/>
      <c r="C618" s="3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1"/>
      <c r="B619" s="2"/>
      <c r="C619" s="3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1"/>
      <c r="B620" s="2"/>
      <c r="C620" s="3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1"/>
      <c r="B621" s="2"/>
      <c r="C621" s="3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1"/>
      <c r="B622" s="2"/>
      <c r="C622" s="3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1"/>
      <c r="B623" s="2"/>
      <c r="C623" s="3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1"/>
      <c r="B624" s="2"/>
      <c r="C624" s="3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1"/>
      <c r="B625" s="2"/>
      <c r="C625" s="3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1"/>
      <c r="B626" s="2"/>
      <c r="C626" s="3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1"/>
      <c r="B627" s="2"/>
      <c r="C627" s="3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1"/>
      <c r="B628" s="2"/>
      <c r="C628" s="3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1"/>
      <c r="B629" s="2"/>
      <c r="C629" s="3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1"/>
      <c r="B630" s="2"/>
      <c r="C630" s="3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1"/>
      <c r="B631" s="2"/>
      <c r="C631" s="3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1"/>
      <c r="B632" s="2"/>
      <c r="C632" s="3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1"/>
      <c r="B633" s="2"/>
      <c r="C633" s="3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1"/>
      <c r="B634" s="2"/>
      <c r="C634" s="3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1"/>
      <c r="B635" s="2"/>
      <c r="C635" s="3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1"/>
      <c r="B636" s="2"/>
      <c r="C636" s="3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1"/>
      <c r="B637" s="2"/>
      <c r="C637" s="3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1"/>
      <c r="B638" s="2"/>
      <c r="C638" s="3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1"/>
      <c r="B639" s="2"/>
      <c r="C639" s="3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1"/>
      <c r="B640" s="2"/>
      <c r="C640" s="3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1"/>
      <c r="B641" s="2"/>
      <c r="C641" s="3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1"/>
      <c r="B642" s="2"/>
      <c r="C642" s="3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1"/>
      <c r="B643" s="2"/>
      <c r="C643" s="3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1"/>
      <c r="B644" s="2"/>
      <c r="C644" s="3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1"/>
      <c r="B645" s="2"/>
      <c r="C645" s="3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1"/>
      <c r="B646" s="2"/>
      <c r="C646" s="3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1"/>
      <c r="B647" s="2"/>
      <c r="C647" s="3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1"/>
      <c r="B648" s="2"/>
      <c r="C648" s="3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1"/>
      <c r="B649" s="2"/>
      <c r="C649" s="3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1"/>
      <c r="B650" s="2"/>
      <c r="C650" s="3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1"/>
      <c r="B651" s="2"/>
      <c r="C651" s="3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1"/>
      <c r="B652" s="2"/>
      <c r="C652" s="3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1"/>
      <c r="B653" s="2"/>
      <c r="C653" s="3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1"/>
      <c r="B654" s="2"/>
      <c r="C654" s="3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1"/>
      <c r="B655" s="2"/>
      <c r="C655" s="3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1"/>
      <c r="B656" s="2"/>
      <c r="C656" s="3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1"/>
      <c r="B657" s="2"/>
      <c r="C657" s="3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1"/>
      <c r="B658" s="2"/>
      <c r="C658" s="3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1"/>
      <c r="B659" s="2"/>
      <c r="C659" s="3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1"/>
      <c r="B660" s="2"/>
      <c r="C660" s="3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1"/>
      <c r="B661" s="2"/>
      <c r="C661" s="3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1"/>
      <c r="B662" s="2"/>
      <c r="C662" s="3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1"/>
      <c r="B663" s="2"/>
      <c r="C663" s="3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1"/>
      <c r="B664" s="2"/>
      <c r="C664" s="3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1"/>
      <c r="B665" s="2"/>
      <c r="C665" s="3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1"/>
      <c r="B666" s="2"/>
      <c r="C666" s="3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1"/>
      <c r="B667" s="2"/>
      <c r="C667" s="3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1"/>
      <c r="B668" s="2"/>
      <c r="C668" s="3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1"/>
      <c r="B669" s="2"/>
      <c r="C669" s="3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1"/>
      <c r="B670" s="2"/>
      <c r="C670" s="3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1"/>
      <c r="B671" s="2"/>
      <c r="C671" s="3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1"/>
      <c r="B672" s="2"/>
      <c r="C672" s="3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1"/>
      <c r="B673" s="2"/>
      <c r="C673" s="3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1"/>
      <c r="B674" s="2"/>
      <c r="C674" s="3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1"/>
      <c r="B675" s="2"/>
      <c r="C675" s="3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1"/>
      <c r="B676" s="2"/>
      <c r="C676" s="3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1"/>
      <c r="B677" s="2"/>
      <c r="C677" s="3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1"/>
      <c r="B678" s="2"/>
      <c r="C678" s="3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1"/>
      <c r="B679" s="2"/>
      <c r="C679" s="3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1"/>
      <c r="B680" s="2"/>
      <c r="C680" s="3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1"/>
      <c r="B681" s="2"/>
      <c r="C681" s="3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1"/>
      <c r="B682" s="2"/>
      <c r="C682" s="3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1"/>
      <c r="B683" s="2"/>
      <c r="C683" s="3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1"/>
      <c r="B684" s="2"/>
      <c r="C684" s="3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1"/>
      <c r="B685" s="2"/>
      <c r="C685" s="3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1"/>
      <c r="B686" s="2"/>
      <c r="C686" s="3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1"/>
      <c r="B687" s="2"/>
      <c r="C687" s="3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1"/>
      <c r="B688" s="2"/>
      <c r="C688" s="3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1"/>
      <c r="B689" s="2"/>
      <c r="C689" s="3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1"/>
      <c r="B690" s="2"/>
      <c r="C690" s="3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1"/>
      <c r="B691" s="2"/>
      <c r="C691" s="3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1"/>
      <c r="B692" s="2"/>
      <c r="C692" s="3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1"/>
      <c r="B693" s="2"/>
      <c r="C693" s="3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1"/>
      <c r="B694" s="2"/>
      <c r="C694" s="3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1"/>
      <c r="B695" s="2"/>
      <c r="C695" s="3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1"/>
      <c r="B696" s="2"/>
      <c r="C696" s="3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1"/>
      <c r="B697" s="2"/>
      <c r="C697" s="3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1"/>
      <c r="B698" s="2"/>
      <c r="C698" s="3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1"/>
      <c r="B699" s="2"/>
      <c r="C699" s="3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1"/>
      <c r="B700" s="2"/>
      <c r="C700" s="3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1"/>
      <c r="B701" s="2"/>
      <c r="C701" s="3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1"/>
      <c r="B702" s="2"/>
      <c r="C702" s="3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1"/>
      <c r="B703" s="2"/>
      <c r="C703" s="3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1"/>
      <c r="B704" s="2"/>
      <c r="C704" s="3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1"/>
      <c r="B705" s="2"/>
      <c r="C705" s="3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1"/>
      <c r="B706" s="2"/>
      <c r="C706" s="3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1"/>
      <c r="B707" s="2"/>
      <c r="C707" s="3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1"/>
      <c r="B708" s="2"/>
      <c r="C708" s="3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1"/>
      <c r="B709" s="2"/>
      <c r="C709" s="3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1"/>
      <c r="B710" s="2"/>
      <c r="C710" s="3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1"/>
      <c r="B711" s="2"/>
      <c r="C711" s="3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1"/>
      <c r="B712" s="2"/>
      <c r="C712" s="3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1"/>
      <c r="B713" s="2"/>
      <c r="C713" s="3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1"/>
      <c r="B714" s="2"/>
      <c r="C714" s="3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1"/>
      <c r="B715" s="2"/>
      <c r="C715" s="3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1"/>
      <c r="B716" s="2"/>
      <c r="C716" s="3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1"/>
      <c r="B717" s="2"/>
      <c r="C717" s="3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1"/>
      <c r="B718" s="2"/>
      <c r="C718" s="3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1"/>
      <c r="B719" s="2"/>
      <c r="C719" s="3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1"/>
      <c r="B720" s="2"/>
      <c r="C720" s="3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1"/>
      <c r="B721" s="2"/>
      <c r="C721" s="3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1"/>
      <c r="B722" s="2"/>
      <c r="C722" s="3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1"/>
      <c r="B723" s="2"/>
      <c r="C723" s="3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1"/>
      <c r="B724" s="2"/>
      <c r="C724" s="3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1"/>
      <c r="B725" s="2"/>
      <c r="C725" s="3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1"/>
      <c r="B726" s="2"/>
      <c r="C726" s="3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1"/>
      <c r="B727" s="2"/>
      <c r="C727" s="3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1"/>
      <c r="B728" s="2"/>
      <c r="C728" s="3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1"/>
      <c r="B729" s="2"/>
      <c r="C729" s="3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1"/>
      <c r="B730" s="2"/>
      <c r="C730" s="3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1"/>
      <c r="B731" s="2"/>
      <c r="C731" s="3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1"/>
      <c r="B732" s="2"/>
      <c r="C732" s="3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1"/>
      <c r="B733" s="2"/>
      <c r="C733" s="3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1"/>
      <c r="B734" s="2"/>
      <c r="C734" s="3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1"/>
      <c r="B735" s="2"/>
      <c r="C735" s="3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1"/>
      <c r="B736" s="2"/>
      <c r="C736" s="3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1"/>
      <c r="B737" s="2"/>
      <c r="C737" s="3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1"/>
      <c r="B738" s="2"/>
      <c r="C738" s="3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1"/>
      <c r="B739" s="2"/>
      <c r="C739" s="3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1"/>
      <c r="B740" s="2"/>
      <c r="C740" s="3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1"/>
      <c r="B741" s="2"/>
      <c r="C741" s="3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1"/>
      <c r="B742" s="2"/>
      <c r="C742" s="3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1"/>
      <c r="B743" s="2"/>
      <c r="C743" s="3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1"/>
      <c r="B744" s="2"/>
      <c r="C744" s="3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1"/>
      <c r="B745" s="2"/>
      <c r="C745" s="3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1"/>
      <c r="B746" s="2"/>
      <c r="C746" s="3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1"/>
      <c r="B747" s="2"/>
      <c r="C747" s="3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1"/>
      <c r="B748" s="2"/>
      <c r="C748" s="3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1"/>
      <c r="B749" s="2"/>
      <c r="C749" s="3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1"/>
      <c r="B750" s="2"/>
      <c r="C750" s="3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1"/>
      <c r="B751" s="2"/>
      <c r="C751" s="3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1"/>
      <c r="B752" s="2"/>
      <c r="C752" s="3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1"/>
      <c r="B753" s="2"/>
      <c r="C753" s="3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1"/>
      <c r="B754" s="2"/>
      <c r="C754" s="3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1"/>
      <c r="B755" s="2"/>
      <c r="C755" s="3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1"/>
      <c r="B756" s="2"/>
      <c r="C756" s="3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1"/>
      <c r="B757" s="2"/>
      <c r="C757" s="3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1"/>
      <c r="B758" s="2"/>
      <c r="C758" s="3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1"/>
      <c r="B759" s="2"/>
      <c r="C759" s="3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1"/>
      <c r="B760" s="2"/>
      <c r="C760" s="3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1"/>
      <c r="B761" s="2"/>
      <c r="C761" s="3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1"/>
      <c r="B762" s="2"/>
      <c r="C762" s="3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1"/>
      <c r="B763" s="2"/>
      <c r="C763" s="3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1"/>
      <c r="B764" s="2"/>
      <c r="C764" s="3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1"/>
      <c r="B765" s="2"/>
      <c r="C765" s="3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1"/>
      <c r="B766" s="2"/>
      <c r="C766" s="3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1"/>
      <c r="B767" s="2"/>
      <c r="C767" s="3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1"/>
      <c r="B768" s="2"/>
      <c r="C768" s="3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1"/>
      <c r="B769" s="2"/>
      <c r="C769" s="3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1"/>
      <c r="B770" s="2"/>
      <c r="C770" s="3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1"/>
      <c r="B771" s="2"/>
      <c r="C771" s="3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1"/>
      <c r="B772" s="2"/>
      <c r="C772" s="3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1"/>
      <c r="B773" s="2"/>
      <c r="C773" s="3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1"/>
      <c r="B774" s="2"/>
      <c r="C774" s="3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1"/>
      <c r="B775" s="2"/>
      <c r="C775" s="3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1"/>
      <c r="B776" s="2"/>
      <c r="C776" s="3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1"/>
      <c r="B777" s="2"/>
      <c r="C777" s="3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1"/>
      <c r="B778" s="2"/>
      <c r="C778" s="3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1"/>
      <c r="B779" s="2"/>
      <c r="C779" s="3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1"/>
      <c r="B780" s="2"/>
      <c r="C780" s="3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1"/>
      <c r="B781" s="2"/>
      <c r="C781" s="3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1"/>
      <c r="B782" s="2"/>
      <c r="C782" s="3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1"/>
      <c r="B783" s="2"/>
      <c r="C783" s="3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1"/>
      <c r="B784" s="2"/>
      <c r="C784" s="3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1"/>
      <c r="B785" s="2"/>
      <c r="C785" s="3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1"/>
      <c r="B786" s="2"/>
      <c r="C786" s="3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1"/>
      <c r="B787" s="2"/>
      <c r="C787" s="3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1"/>
      <c r="B788" s="2"/>
      <c r="C788" s="3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1"/>
      <c r="B789" s="2"/>
      <c r="C789" s="3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1"/>
      <c r="B790" s="2"/>
      <c r="C790" s="3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1"/>
      <c r="B791" s="2"/>
      <c r="C791" s="3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1"/>
      <c r="B792" s="2"/>
      <c r="C792" s="3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1"/>
      <c r="B793" s="2"/>
      <c r="C793" s="3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1"/>
      <c r="B794" s="2"/>
      <c r="C794" s="3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1"/>
      <c r="B795" s="2"/>
      <c r="C795" s="3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1"/>
      <c r="B796" s="2"/>
      <c r="C796" s="3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1"/>
      <c r="B797" s="2"/>
      <c r="C797" s="3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1"/>
      <c r="B798" s="2"/>
      <c r="C798" s="3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1"/>
      <c r="B799" s="2"/>
      <c r="C799" s="3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1"/>
      <c r="B800" s="2"/>
      <c r="C800" s="3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1"/>
      <c r="B801" s="2"/>
      <c r="C801" s="3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1"/>
      <c r="B802" s="2"/>
      <c r="C802" s="3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1"/>
      <c r="B803" s="2"/>
      <c r="C803" s="3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1"/>
      <c r="B804" s="2"/>
      <c r="C804" s="3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1"/>
      <c r="B805" s="2"/>
      <c r="C805" s="3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1"/>
      <c r="B806" s="2"/>
      <c r="C806" s="3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1"/>
      <c r="B807" s="2"/>
      <c r="C807" s="3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1"/>
      <c r="B808" s="2"/>
      <c r="C808" s="3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1"/>
      <c r="B809" s="2"/>
      <c r="C809" s="3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1"/>
      <c r="B810" s="2"/>
      <c r="C810" s="3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1"/>
      <c r="B811" s="2"/>
      <c r="C811" s="3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1"/>
      <c r="B812" s="2"/>
      <c r="C812" s="3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1"/>
      <c r="B813" s="2"/>
      <c r="C813" s="3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1"/>
      <c r="B814" s="2"/>
      <c r="C814" s="3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1"/>
      <c r="B815" s="2"/>
      <c r="C815" s="3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1"/>
      <c r="B816" s="2"/>
      <c r="C816" s="3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1"/>
      <c r="B817" s="2"/>
      <c r="C817" s="3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1"/>
      <c r="B818" s="2"/>
      <c r="C818" s="3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1"/>
      <c r="B819" s="2"/>
      <c r="C819" s="3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1"/>
      <c r="B820" s="2"/>
      <c r="C820" s="3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1"/>
      <c r="B821" s="2"/>
      <c r="C821" s="3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1"/>
      <c r="B822" s="2"/>
      <c r="C822" s="3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1"/>
      <c r="B823" s="2"/>
      <c r="C823" s="3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1"/>
      <c r="B824" s="2"/>
      <c r="C824" s="3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1"/>
      <c r="B825" s="2"/>
      <c r="C825" s="3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1"/>
      <c r="B826" s="2"/>
      <c r="C826" s="3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1"/>
      <c r="B827" s="2"/>
      <c r="C827" s="3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1"/>
      <c r="B828" s="2"/>
      <c r="C828" s="3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1"/>
      <c r="B829" s="2"/>
      <c r="C829" s="3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1"/>
      <c r="B830" s="2"/>
      <c r="C830" s="3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1"/>
      <c r="B831" s="2"/>
      <c r="C831" s="3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1"/>
      <c r="B832" s="2"/>
      <c r="C832" s="3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1"/>
      <c r="B833" s="2"/>
      <c r="C833" s="3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1"/>
      <c r="B834" s="2"/>
      <c r="C834" s="3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1"/>
      <c r="B835" s="2"/>
      <c r="C835" s="3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1"/>
      <c r="B836" s="2"/>
      <c r="C836" s="3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1"/>
      <c r="B837" s="2"/>
      <c r="C837" s="3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1"/>
      <c r="B838" s="2"/>
      <c r="C838" s="3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1"/>
      <c r="B839" s="2"/>
      <c r="C839" s="3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1"/>
      <c r="B840" s="2"/>
      <c r="C840" s="3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1"/>
      <c r="B841" s="2"/>
      <c r="C841" s="3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1"/>
      <c r="B842" s="2"/>
      <c r="C842" s="3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1"/>
      <c r="B843" s="2"/>
      <c r="C843" s="3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1"/>
      <c r="B844" s="2"/>
      <c r="C844" s="3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1"/>
      <c r="B845" s="2"/>
      <c r="C845" s="3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1"/>
      <c r="B846" s="2"/>
      <c r="C846" s="3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1"/>
      <c r="B847" s="2"/>
      <c r="C847" s="3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1"/>
      <c r="B848" s="2"/>
      <c r="C848" s="3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1"/>
      <c r="B849" s="2"/>
      <c r="C849" s="3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1"/>
      <c r="B850" s="2"/>
      <c r="C850" s="3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1"/>
      <c r="B851" s="2"/>
      <c r="C851" s="3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1"/>
      <c r="B852" s="2"/>
      <c r="C852" s="3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1"/>
      <c r="B853" s="2"/>
      <c r="C853" s="3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1"/>
      <c r="B854" s="2"/>
      <c r="C854" s="3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1"/>
      <c r="B855" s="2"/>
      <c r="C855" s="3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1"/>
      <c r="B856" s="2"/>
      <c r="C856" s="3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1"/>
      <c r="B857" s="2"/>
      <c r="C857" s="3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1"/>
      <c r="B858" s="2"/>
      <c r="C858" s="3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1"/>
      <c r="B859" s="2"/>
      <c r="C859" s="3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1"/>
      <c r="B860" s="2"/>
      <c r="C860" s="3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1"/>
      <c r="B861" s="2"/>
      <c r="C861" s="3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1"/>
      <c r="B862" s="2"/>
      <c r="C862" s="3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1"/>
      <c r="B863" s="2"/>
      <c r="C863" s="3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1"/>
      <c r="B864" s="2"/>
      <c r="C864" s="3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1"/>
      <c r="B865" s="2"/>
      <c r="C865" s="3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1"/>
      <c r="B866" s="2"/>
      <c r="C866" s="3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1"/>
      <c r="B867" s="2"/>
      <c r="C867" s="3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1"/>
      <c r="B868" s="2"/>
      <c r="C868" s="3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1"/>
      <c r="B869" s="2"/>
      <c r="C869" s="3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1"/>
      <c r="B870" s="2"/>
      <c r="C870" s="3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1"/>
      <c r="B871" s="2"/>
      <c r="C871" s="3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1"/>
      <c r="B872" s="2"/>
      <c r="C872" s="3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1"/>
      <c r="B873" s="2"/>
      <c r="C873" s="3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1"/>
      <c r="B874" s="2"/>
      <c r="C874" s="3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1"/>
      <c r="B875" s="2"/>
      <c r="C875" s="3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1"/>
      <c r="B876" s="2"/>
      <c r="C876" s="3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1"/>
      <c r="B877" s="2"/>
      <c r="C877" s="3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1"/>
      <c r="B878" s="2"/>
      <c r="C878" s="3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1"/>
      <c r="B879" s="2"/>
      <c r="C879" s="3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1"/>
      <c r="B880" s="2"/>
      <c r="C880" s="3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1"/>
      <c r="B881" s="2"/>
      <c r="C881" s="3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1"/>
      <c r="B882" s="2"/>
      <c r="C882" s="3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1"/>
      <c r="B883" s="2"/>
      <c r="C883" s="3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1"/>
      <c r="B884" s="2"/>
      <c r="C884" s="3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1"/>
      <c r="B885" s="2"/>
      <c r="C885" s="3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1"/>
      <c r="B886" s="2"/>
      <c r="C886" s="3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1"/>
      <c r="B887" s="2"/>
      <c r="C887" s="3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1"/>
      <c r="B888" s="2"/>
      <c r="C888" s="3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1"/>
      <c r="B889" s="2"/>
      <c r="C889" s="3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1"/>
      <c r="B890" s="2"/>
      <c r="C890" s="3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1"/>
      <c r="B891" s="2"/>
      <c r="C891" s="3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1"/>
      <c r="B892" s="2"/>
      <c r="C892" s="3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1"/>
      <c r="B893" s="2"/>
      <c r="C893" s="3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1"/>
      <c r="B894" s="2"/>
      <c r="C894" s="3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1"/>
      <c r="B895" s="2"/>
      <c r="C895" s="3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1"/>
      <c r="B896" s="2"/>
      <c r="C896" s="3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1"/>
      <c r="B897" s="2"/>
      <c r="C897" s="3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1"/>
      <c r="B898" s="2"/>
      <c r="C898" s="3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1"/>
      <c r="B899" s="2"/>
      <c r="C899" s="3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1"/>
      <c r="B900" s="2"/>
      <c r="C900" s="3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1"/>
      <c r="B901" s="2"/>
      <c r="C901" s="3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1"/>
      <c r="B902" s="2"/>
      <c r="C902" s="3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1"/>
      <c r="B903" s="2"/>
      <c r="C903" s="3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1"/>
      <c r="B904" s="2"/>
      <c r="C904" s="3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1"/>
      <c r="B905" s="2"/>
      <c r="C905" s="3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1"/>
      <c r="B906" s="2"/>
      <c r="C906" s="3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1"/>
      <c r="B907" s="2"/>
      <c r="C907" s="3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1"/>
      <c r="B908" s="2"/>
      <c r="C908" s="3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1"/>
      <c r="B909" s="2"/>
      <c r="C909" s="3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1"/>
      <c r="B910" s="2"/>
      <c r="C910" s="3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1"/>
      <c r="B911" s="2"/>
      <c r="C911" s="3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1"/>
      <c r="B912" s="2"/>
      <c r="C912" s="3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1"/>
      <c r="B913" s="2"/>
      <c r="C913" s="3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1"/>
      <c r="B914" s="2"/>
      <c r="C914" s="3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1"/>
      <c r="B915" s="2"/>
      <c r="C915" s="3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1"/>
      <c r="B916" s="2"/>
      <c r="C916" s="3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1"/>
      <c r="B917" s="2"/>
      <c r="C917" s="3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1"/>
      <c r="B918" s="2"/>
      <c r="C918" s="3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1"/>
      <c r="B919" s="2"/>
      <c r="C919" s="3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1"/>
      <c r="B920" s="2"/>
      <c r="C920" s="3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1"/>
      <c r="B921" s="2"/>
      <c r="C921" s="3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1"/>
      <c r="B922" s="2"/>
      <c r="C922" s="3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1"/>
      <c r="B923" s="2"/>
      <c r="C923" s="3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1"/>
      <c r="B924" s="2"/>
      <c r="C924" s="3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1"/>
      <c r="B925" s="2"/>
      <c r="C925" s="3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1"/>
      <c r="B926" s="2"/>
      <c r="C926" s="3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1"/>
      <c r="B927" s="2"/>
      <c r="C927" s="3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1"/>
      <c r="B928" s="2"/>
      <c r="C928" s="3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1"/>
      <c r="B929" s="2"/>
      <c r="C929" s="3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1"/>
      <c r="B930" s="2"/>
      <c r="C930" s="3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1"/>
      <c r="B931" s="2"/>
      <c r="C931" s="3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1"/>
      <c r="B932" s="2"/>
      <c r="C932" s="3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1"/>
      <c r="B933" s="2"/>
      <c r="C933" s="3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1"/>
      <c r="B934" s="2"/>
      <c r="C934" s="3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1"/>
      <c r="B935" s="2"/>
      <c r="C935" s="3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1"/>
      <c r="B936" s="2"/>
      <c r="C936" s="3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1"/>
      <c r="B937" s="2"/>
      <c r="C937" s="3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1"/>
      <c r="B938" s="2"/>
      <c r="C938" s="3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1"/>
      <c r="B939" s="2"/>
      <c r="C939" s="3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1"/>
      <c r="B940" s="2"/>
      <c r="C940" s="3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1"/>
      <c r="B941" s="2"/>
      <c r="C941" s="3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1"/>
      <c r="B942" s="2"/>
      <c r="C942" s="3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1"/>
      <c r="B943" s="2"/>
      <c r="C943" s="3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1"/>
      <c r="B944" s="2"/>
      <c r="C944" s="3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1"/>
      <c r="B945" s="2"/>
      <c r="C945" s="3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1"/>
      <c r="B946" s="2"/>
      <c r="C946" s="3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1"/>
      <c r="B947" s="2"/>
      <c r="C947" s="3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1"/>
      <c r="B948" s="2"/>
      <c r="C948" s="3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1"/>
      <c r="B949" s="2"/>
      <c r="C949" s="3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1"/>
      <c r="B950" s="2"/>
      <c r="C950" s="3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1"/>
      <c r="B951" s="2"/>
      <c r="C951" s="3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1"/>
      <c r="B952" s="2"/>
      <c r="C952" s="3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1"/>
      <c r="B953" s="2"/>
      <c r="C953" s="3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1"/>
      <c r="B954" s="2"/>
      <c r="C954" s="3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1"/>
      <c r="B955" s="2"/>
      <c r="C955" s="3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1"/>
      <c r="B956" s="2"/>
      <c r="C956" s="3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1"/>
      <c r="B957" s="2"/>
      <c r="C957" s="3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1"/>
      <c r="B958" s="2"/>
      <c r="C958" s="3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1"/>
      <c r="B959" s="2"/>
      <c r="C959" s="3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1"/>
      <c r="B960" s="2"/>
      <c r="C960" s="3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1"/>
      <c r="B961" s="2"/>
      <c r="C961" s="3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1"/>
      <c r="B962" s="2"/>
      <c r="C962" s="3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1"/>
      <c r="B963" s="2"/>
      <c r="C963" s="3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1"/>
      <c r="B964" s="2"/>
      <c r="C964" s="3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1"/>
      <c r="B965" s="2"/>
      <c r="C965" s="3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1"/>
      <c r="B966" s="2"/>
      <c r="C966" s="3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1"/>
      <c r="B967" s="2"/>
      <c r="C967" s="3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1"/>
      <c r="B968" s="2"/>
      <c r="C968" s="3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1"/>
      <c r="B969" s="2"/>
      <c r="C969" s="3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1"/>
      <c r="B970" s="2"/>
      <c r="C970" s="3"/>
      <c r="K970" s="4"/>
      <c r="L970" s="4"/>
      <c r="M970" s="4"/>
      <c r="N970" s="4"/>
      <c r="O970" s="4"/>
      <c r="P970" s="4"/>
      <c r="Q970" s="4"/>
      <c r="R970" s="4"/>
      <c r="S970" s="4"/>
    </row>
  </sheetData>
  <conditionalFormatting sqref="S3:S45">
    <cfRule type="cellIs" dxfId="0" priority="1" operator="lessThanOrEqual">
      <formula>0</formula>
    </cfRule>
  </conditionalFormatting>
  <conditionalFormatting sqref="S3:S45">
    <cfRule type="cellIs" dxfId="1" priority="2" operator="greaterThanOrEqual">
      <formula>1</formula>
    </cfRule>
  </conditionalFormatting>
  <hyperlinks>
    <hyperlink r:id="rId1" location="RANGE!gid=846738644" ref="B5"/>
    <hyperlink r:id="rId2" location="RANGE!gid=1794882373" ref="B6"/>
    <hyperlink r:id="rId3" location="RANGE!gid=14733121" ref="B7"/>
    <hyperlink r:id="rId4" location="RANGE!gid=390802546" ref="B8"/>
    <hyperlink r:id="rId5" location="RANGE!gid=713766457" ref="B9"/>
    <hyperlink r:id="rId6" location="RANGE!gid=1091583229" ref="B10"/>
    <hyperlink r:id="rId7" location="RANGE!gid=1712099127" ref="B11"/>
    <hyperlink r:id="rId8" location="RANGE!gid=1378072522" ref="B12"/>
    <hyperlink r:id="rId9" location="RANGE!gid=92632770" ref="B14"/>
    <hyperlink r:id="rId10" location="RANGE!gid=1632856491" ref="B15"/>
    <hyperlink r:id="rId11" location="RANGE!gid=1829278619" ref="B16"/>
    <hyperlink r:id="rId12" location="RANGE!gid=65840027" ref="B17"/>
    <hyperlink r:id="rId13" location="RANGE!gid=1508301445" ref="B18"/>
    <hyperlink r:id="rId14" location="RANGE!gid=600869083" ref="B19"/>
    <hyperlink r:id="rId15" location="RANGE!gid=678276715" ref="B20"/>
    <hyperlink r:id="rId16" location="RANGE!gid=1178010338" ref="B22"/>
    <hyperlink r:id="rId17" location="RANGE!gid=2067074265" ref="B23"/>
    <hyperlink r:id="rId18" location="RANGE!gid=1930550365" ref="B26"/>
    <hyperlink r:id="rId19" location="RANGE!gid=74425973" ref="B28"/>
    <hyperlink r:id="rId20" location="RANGE!gid=2014444294" ref="B29"/>
    <hyperlink r:id="rId21" location="RANGE!gid=1324387500" ref="B30"/>
    <hyperlink r:id="rId22" location="RANGE!gid=1891293066" ref="B37"/>
    <hyperlink r:id="rId23" location="RANGE!gid=1078095294" ref="B38"/>
    <hyperlink r:id="rId24" location="RANGE!gid=1666798793" ref="B39"/>
    <hyperlink r:id="rId25" location="RANGE!gid=136151010" ref="B41"/>
    <hyperlink r:id="rId26" location="RANGE!gid=1104724786" ref="B42"/>
  </hyperlink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11.13"/>
    <col customWidth="1" min="3" max="3" width="11.0"/>
    <col customWidth="1" min="4" max="4" width="10.25"/>
    <col customWidth="1" min="5" max="5" width="17.13"/>
    <col customWidth="1" min="6" max="6" width="11.0"/>
    <col customWidth="1" min="7" max="7" width="11.88"/>
    <col customWidth="1" min="8" max="8" width="8.75"/>
    <col customWidth="1" min="9" max="9" width="10.63"/>
    <col customWidth="1" min="10" max="10" width="16.38"/>
  </cols>
  <sheetData>
    <row r="1" ht="17.25" customHeight="1">
      <c r="A1" s="27" t="str">
        <f>IFERROR(__xludf.DUMMYFUNCTION("IMPORTRANGE(""https://docs.google.com/spreadsheets/d/12fbkSDtINEPcX59bx0gsB5K_UQdQ63gnVfmxpBMeNQE/"",""C MASTER SHEET!A1:Z"")"),"")</f>
        <v/>
      </c>
      <c r="K1" s="28" t="str">
        <f>IFERROR(__xludf.DUMMYFUNCTION("""COMPUTED_VALUE"""),"AVAILABLE PLANT ")</f>
        <v>AVAILABLE PLANT </v>
      </c>
      <c r="L1" s="29"/>
      <c r="M1" s="29"/>
      <c r="N1" s="30"/>
      <c r="O1" s="31"/>
      <c r="P1" s="31"/>
      <c r="Q1" s="32"/>
      <c r="R1" s="33"/>
      <c r="S1" s="33"/>
      <c r="T1" s="33"/>
      <c r="U1" s="33"/>
      <c r="V1" s="33"/>
      <c r="W1" s="33"/>
      <c r="X1" s="33"/>
    </row>
    <row r="2">
      <c r="A2" s="34" t="str">
        <f>IFERROR(__xludf.DUMMYFUNCTION("""COMPUTED_VALUE"""),"S.No.")</f>
        <v>S.No.</v>
      </c>
      <c r="B2" s="35" t="str">
        <f>IFERROR(__xludf.DUMMYFUNCTION("""COMPUTED_VALUE"""),"Crop")</f>
        <v>Crop</v>
      </c>
      <c r="C2" s="34" t="str">
        <f>IFERROR(__xludf.DUMMYFUNCTION("""COMPUTED_VALUE"""),"Variety")</f>
        <v>Variety</v>
      </c>
      <c r="D2" s="34" t="str">
        <f>IFERROR(__xludf.DUMMYFUNCTION("""COMPUTED_VALUE"""),"Propagation Method")</f>
        <v>Propagation Method</v>
      </c>
      <c r="E2" s="34" t="str">
        <f>IFERROR(__xludf.DUMMYFUNCTION("""COMPUTED_VALUE""")," Scion + Root Stock ")</f>
        <v> Scion + Root Stock </v>
      </c>
      <c r="F2" s="34" t="str">
        <f>IFERROR(__xludf.DUMMYFUNCTION("""COMPUTED_VALUE"""),"Opening Stock")</f>
        <v>Opening Stock</v>
      </c>
      <c r="G2" s="34" t="str">
        <f>IFERROR(__xludf.DUMMYFUNCTION("""COMPUTED_VALUE"""),"Received Plants")</f>
        <v>Received Plants</v>
      </c>
      <c r="H2" s="34" t="str">
        <f>IFERROR(__xludf.DUMMYFUNCTION("""COMPUTED_VALUE"""),"Dispatched Plants ")</f>
        <v>Dispatched Plants </v>
      </c>
      <c r="I2" s="34" t="str">
        <f>IFERROR(__xludf.DUMMYFUNCTION("""COMPUTED_VALUE"""),"Damage Plant")</f>
        <v>Damage Plant</v>
      </c>
      <c r="J2" s="34" t="str">
        <f>IFERROR(__xludf.DUMMYFUNCTION("""COMPUTED_VALUE"""),"Total Available Plants")</f>
        <v>Total Available Plants</v>
      </c>
      <c r="K2" s="36" t="str">
        <f>IFERROR(__xludf.DUMMYFUNCTION("""COMPUTED_VALUE"""),"16 Apr To 30 Apr")</f>
        <v>16 Apr To 30 Apr</v>
      </c>
      <c r="L2" s="36" t="str">
        <f>IFERROR(__xludf.DUMMYFUNCTION("""COMPUTED_VALUE"""),"01 May To 15 May")</f>
        <v>01 May To 15 May</v>
      </c>
      <c r="M2" s="36" t="str">
        <f>IFERROR(__xludf.DUMMYFUNCTION("""COMPUTED_VALUE"""),"16 May To 31 May")</f>
        <v>16 May To 31 May</v>
      </c>
      <c r="N2" s="36" t="str">
        <f>IFERROR(__xludf.DUMMYFUNCTION("""COMPUTED_VALUE"""),"01 Jun To 15 Jun")</f>
        <v>01 Jun To 15 Jun</v>
      </c>
      <c r="O2" s="36" t="str">
        <f>IFERROR(__xludf.DUMMYFUNCTION("""COMPUTED_VALUE"""),"16 Jun To 30 Jun")</f>
        <v>16 Jun To 30 Jun</v>
      </c>
      <c r="P2" s="36" t="str">
        <f>IFERROR(__xludf.DUMMYFUNCTION("""COMPUTED_VALUE"""),"1 Jul To 15 Jul")</f>
        <v>1 Jul To 15 Jul</v>
      </c>
      <c r="Q2" s="37" t="str">
        <f>IFERROR(__xludf.DUMMYFUNCTION("""COMPUTED_VALUE"""),"Unhealthy Plants")</f>
        <v>Unhealthy Plants</v>
      </c>
      <c r="R2" s="38"/>
      <c r="S2" s="38"/>
      <c r="T2" s="38"/>
      <c r="U2" s="38"/>
      <c r="V2" s="38"/>
      <c r="W2" s="38"/>
      <c r="X2" s="38"/>
    </row>
    <row r="3">
      <c r="A3" s="39">
        <f>IFERROR(__xludf.DUMMYFUNCTION("""COMPUTED_VALUE"""),1.0)</f>
        <v>1</v>
      </c>
      <c r="B3" s="40" t="str">
        <f>IFERROR(__xludf.DUMMYFUNCTION("""COMPUTED_VALUE"""),"Almond")</f>
        <v>Almond</v>
      </c>
      <c r="C3" s="39" t="str">
        <f>IFERROR(__xludf.DUMMYFUNCTION("""COMPUTED_VALUE"""),"VNR-141")</f>
        <v>VNR-141</v>
      </c>
      <c r="D3" s="39" t="str">
        <f>IFERROR(__xludf.DUMMYFUNCTION("""COMPUTED_VALUE"""),"Grafted")</f>
        <v>Grafted</v>
      </c>
      <c r="E3" s="39" t="str">
        <f>IFERROR(__xludf.DUMMYFUNCTION("""COMPUTED_VALUE"""),"Almond 141 + Almond")</f>
        <v>Almond 141 + Almond</v>
      </c>
      <c r="F3" s="39">
        <f>IFERROR(__xludf.DUMMYFUNCTION("""COMPUTED_VALUE"""),44.0)</f>
        <v>44</v>
      </c>
      <c r="G3" s="39">
        <f>IFERROR(__xludf.DUMMYFUNCTION("""COMPUTED_VALUE"""),0.0)</f>
        <v>0</v>
      </c>
      <c r="H3" s="39">
        <f>IFERROR(__xludf.DUMMYFUNCTION("""COMPUTED_VALUE"""),0.0)</f>
        <v>0</v>
      </c>
      <c r="I3" s="39">
        <f>IFERROR(__xludf.DUMMYFUNCTION("""COMPUTED_VALUE"""),0.0)</f>
        <v>0</v>
      </c>
      <c r="J3" s="39">
        <f>IFERROR(__xludf.DUMMYFUNCTION("""COMPUTED_VALUE"""),44.0)</f>
        <v>44</v>
      </c>
      <c r="K3" s="41">
        <f>IFERROR(__xludf.DUMMYFUNCTION("""COMPUTED_VALUE"""),43.0)</f>
        <v>43</v>
      </c>
      <c r="L3" s="41">
        <f>IFERROR(__xludf.DUMMYFUNCTION("""COMPUTED_VALUE"""),1.0)</f>
        <v>1</v>
      </c>
      <c r="M3" s="41">
        <f>IFERROR(__xludf.DUMMYFUNCTION("""COMPUTED_VALUE"""),0.0)</f>
        <v>0</v>
      </c>
      <c r="N3" s="41">
        <f>IFERROR(__xludf.DUMMYFUNCTION("""COMPUTED_VALUE"""),0.0)</f>
        <v>0</v>
      </c>
      <c r="O3" s="42">
        <f>IFERROR(__xludf.DUMMYFUNCTION("""COMPUTED_VALUE"""),0.0)</f>
        <v>0</v>
      </c>
      <c r="P3" s="42">
        <f>IFERROR(__xludf.DUMMYFUNCTION("""COMPUTED_VALUE"""),0.0)</f>
        <v>0</v>
      </c>
      <c r="Q3" s="42">
        <f>IFERROR(__xludf.DUMMYFUNCTION("""COMPUTED_VALUE"""),0.0)</f>
        <v>0</v>
      </c>
      <c r="R3" s="43"/>
      <c r="S3" s="43"/>
      <c r="T3" s="43"/>
      <c r="U3" s="43"/>
      <c r="V3" s="43"/>
      <c r="W3" s="43"/>
      <c r="X3" s="43"/>
    </row>
    <row r="4">
      <c r="A4" s="39">
        <f>IFERROR(__xludf.DUMMYFUNCTION("""COMPUTED_VALUE"""),2.0)</f>
        <v>2</v>
      </c>
      <c r="B4" s="40" t="str">
        <f>IFERROR(__xludf.DUMMYFUNCTION("""COMPUTED_VALUE"""),"Aonla")</f>
        <v>Aonla</v>
      </c>
      <c r="C4" s="39" t="str">
        <f>IFERROR(__xludf.DUMMYFUNCTION("""COMPUTED_VALUE"""),"Krishna ")</f>
        <v>Krishna </v>
      </c>
      <c r="D4" s="39" t="str">
        <f>IFERROR(__xludf.DUMMYFUNCTION("""COMPUTED_VALUE"""),"Grafted")</f>
        <v>Grafted</v>
      </c>
      <c r="E4" s="39"/>
      <c r="F4" s="39">
        <f>IFERROR(__xludf.DUMMYFUNCTION("""COMPUTED_VALUE"""),182.0)</f>
        <v>182</v>
      </c>
      <c r="G4" s="39">
        <f>IFERROR(__xludf.DUMMYFUNCTION("""COMPUTED_VALUE"""),0.0)</f>
        <v>0</v>
      </c>
      <c r="H4" s="39">
        <f>IFERROR(__xludf.DUMMYFUNCTION("""COMPUTED_VALUE"""),0.0)</f>
        <v>0</v>
      </c>
      <c r="I4" s="39">
        <f>IFERROR(__xludf.DUMMYFUNCTION("""COMPUTED_VALUE"""),26.0)</f>
        <v>26</v>
      </c>
      <c r="J4" s="39">
        <f>IFERROR(__xludf.DUMMYFUNCTION("""COMPUTED_VALUE"""),156.0)</f>
        <v>156</v>
      </c>
      <c r="K4" s="41">
        <f>IFERROR(__xludf.DUMMYFUNCTION("""COMPUTED_VALUE"""),70.0)</f>
        <v>70</v>
      </c>
      <c r="L4" s="41">
        <f>IFERROR(__xludf.DUMMYFUNCTION("""COMPUTED_VALUE"""),50.0)</f>
        <v>50</v>
      </c>
      <c r="M4" s="41">
        <f>IFERROR(__xludf.DUMMYFUNCTION("""COMPUTED_VALUE"""),36.0)</f>
        <v>36</v>
      </c>
      <c r="N4" s="41">
        <f>IFERROR(__xludf.DUMMYFUNCTION("""COMPUTED_VALUE"""),0.0)</f>
        <v>0</v>
      </c>
      <c r="O4" s="42">
        <f>IFERROR(__xludf.DUMMYFUNCTION("""COMPUTED_VALUE"""),0.0)</f>
        <v>0</v>
      </c>
      <c r="P4" s="42">
        <f>IFERROR(__xludf.DUMMYFUNCTION("""COMPUTED_VALUE"""),0.0)</f>
        <v>0</v>
      </c>
      <c r="Q4" s="42">
        <f>IFERROR(__xludf.DUMMYFUNCTION("""COMPUTED_VALUE"""),0.0)</f>
        <v>0</v>
      </c>
      <c r="R4" s="43"/>
      <c r="S4" s="43"/>
      <c r="T4" s="43"/>
      <c r="U4" s="43"/>
      <c r="V4" s="43"/>
      <c r="W4" s="43"/>
      <c r="X4" s="43"/>
    </row>
    <row r="5">
      <c r="A5" s="39">
        <f>IFERROR(__xludf.DUMMYFUNCTION("""COMPUTED_VALUE"""),3.0)</f>
        <v>3</v>
      </c>
      <c r="B5" s="40" t="str">
        <f>IFERROR(__xludf.DUMMYFUNCTION("""COMPUTED_VALUE"""),"Bael")</f>
        <v>Bael</v>
      </c>
      <c r="C5" s="39" t="str">
        <f>IFERROR(__xludf.DUMMYFUNCTION("""COMPUTED_VALUE"""),"Cish-1")</f>
        <v>Cish-1</v>
      </c>
      <c r="D5" s="39" t="str">
        <f>IFERROR(__xludf.DUMMYFUNCTION("""COMPUTED_VALUE"""),"Grafted")</f>
        <v>Grafted</v>
      </c>
      <c r="E5" s="39" t="str">
        <f>IFERROR(__xludf.DUMMYFUNCTION("""COMPUTED_VALUE"""),"Bael B-1 CISH + Bael")</f>
        <v>Bael B-1 CISH + Bael</v>
      </c>
      <c r="F5" s="39">
        <f>IFERROR(__xludf.DUMMYFUNCTION("""COMPUTED_VALUE"""),46.0)</f>
        <v>46</v>
      </c>
      <c r="G5" s="39">
        <f>IFERROR(__xludf.DUMMYFUNCTION("""COMPUTED_VALUE"""),0.0)</f>
        <v>0</v>
      </c>
      <c r="H5" s="39">
        <f>IFERROR(__xludf.DUMMYFUNCTION("""COMPUTED_VALUE"""),0.0)</f>
        <v>0</v>
      </c>
      <c r="I5" s="39">
        <f>IFERROR(__xludf.DUMMYFUNCTION("""COMPUTED_VALUE"""),7.0)</f>
        <v>7</v>
      </c>
      <c r="J5" s="39">
        <f>IFERROR(__xludf.DUMMYFUNCTION("""COMPUTED_VALUE"""),39.0)</f>
        <v>39</v>
      </c>
      <c r="K5" s="41">
        <f>IFERROR(__xludf.DUMMYFUNCTION("""COMPUTED_VALUE"""),25.0)</f>
        <v>25</v>
      </c>
      <c r="L5" s="41">
        <f>IFERROR(__xludf.DUMMYFUNCTION("""COMPUTED_VALUE"""),14.0)</f>
        <v>14</v>
      </c>
      <c r="M5" s="41">
        <f>IFERROR(__xludf.DUMMYFUNCTION("""COMPUTED_VALUE"""),0.0)</f>
        <v>0</v>
      </c>
      <c r="N5" s="41">
        <f>IFERROR(__xludf.DUMMYFUNCTION("""COMPUTED_VALUE"""),0.0)</f>
        <v>0</v>
      </c>
      <c r="O5" s="42">
        <f>IFERROR(__xludf.DUMMYFUNCTION("""COMPUTED_VALUE"""),0.0)</f>
        <v>0</v>
      </c>
      <c r="P5" s="42">
        <f>IFERROR(__xludf.DUMMYFUNCTION("""COMPUTED_VALUE"""),0.0)</f>
        <v>0</v>
      </c>
      <c r="Q5" s="42">
        <f>IFERROR(__xludf.DUMMYFUNCTION("""COMPUTED_VALUE"""),0.0)</f>
        <v>0</v>
      </c>
      <c r="R5" s="43"/>
      <c r="S5" s="43"/>
      <c r="T5" s="43"/>
      <c r="U5" s="43"/>
      <c r="V5" s="43"/>
      <c r="W5" s="43"/>
      <c r="X5" s="43"/>
    </row>
    <row r="6">
      <c r="A6" s="39">
        <f>IFERROR(__xludf.DUMMYFUNCTION("""COMPUTED_VALUE"""),4.0)</f>
        <v>4</v>
      </c>
      <c r="B6" s="40" t="str">
        <f>IFERROR(__xludf.DUMMYFUNCTION("""COMPUTED_VALUE"""),"Bael")</f>
        <v>Bael</v>
      </c>
      <c r="C6" s="39" t="str">
        <f>IFERROR(__xludf.DUMMYFUNCTION("""COMPUTED_VALUE"""),"Goma Yashi")</f>
        <v>Goma Yashi</v>
      </c>
      <c r="D6" s="39" t="str">
        <f>IFERROR(__xludf.DUMMYFUNCTION("""COMPUTED_VALUE"""),"Grafted")</f>
        <v>Grafted</v>
      </c>
      <c r="E6" s="39" t="str">
        <f>IFERROR(__xludf.DUMMYFUNCTION("""COMPUTED_VALUE"""),"Bael Gomayashi + Bael")</f>
        <v>Bael Gomayashi + Bael</v>
      </c>
      <c r="F6" s="39">
        <f>IFERROR(__xludf.DUMMYFUNCTION("""COMPUTED_VALUE"""),89.0)</f>
        <v>89</v>
      </c>
      <c r="G6" s="39">
        <f>IFERROR(__xludf.DUMMYFUNCTION("""COMPUTED_VALUE"""),0.0)</f>
        <v>0</v>
      </c>
      <c r="H6" s="39">
        <f>IFERROR(__xludf.DUMMYFUNCTION("""COMPUTED_VALUE"""),3.0)</f>
        <v>3</v>
      </c>
      <c r="I6" s="39">
        <f>IFERROR(__xludf.DUMMYFUNCTION("""COMPUTED_VALUE"""),0.0)</f>
        <v>0</v>
      </c>
      <c r="J6" s="39">
        <f>IFERROR(__xludf.DUMMYFUNCTION("""COMPUTED_VALUE"""),86.0)</f>
        <v>86</v>
      </c>
      <c r="K6" s="41">
        <f>IFERROR(__xludf.DUMMYFUNCTION("""COMPUTED_VALUE"""),50.0)</f>
        <v>50</v>
      </c>
      <c r="L6" s="41">
        <f>IFERROR(__xludf.DUMMYFUNCTION("""COMPUTED_VALUE"""),36.0)</f>
        <v>36</v>
      </c>
      <c r="M6" s="41">
        <f>IFERROR(__xludf.DUMMYFUNCTION("""COMPUTED_VALUE"""),0.0)</f>
        <v>0</v>
      </c>
      <c r="N6" s="41">
        <f>IFERROR(__xludf.DUMMYFUNCTION("""COMPUTED_VALUE"""),0.0)</f>
        <v>0</v>
      </c>
      <c r="O6" s="42">
        <f>IFERROR(__xludf.DUMMYFUNCTION("""COMPUTED_VALUE"""),0.0)</f>
        <v>0</v>
      </c>
      <c r="P6" s="42">
        <f>IFERROR(__xludf.DUMMYFUNCTION("""COMPUTED_VALUE"""),0.0)</f>
        <v>0</v>
      </c>
      <c r="Q6" s="42">
        <f>IFERROR(__xludf.DUMMYFUNCTION("""COMPUTED_VALUE"""),0.0)</f>
        <v>0</v>
      </c>
      <c r="R6" s="43"/>
      <c r="S6" s="43"/>
      <c r="T6" s="43"/>
      <c r="U6" s="43"/>
      <c r="V6" s="43"/>
      <c r="W6" s="43"/>
      <c r="X6" s="43"/>
    </row>
    <row r="7">
      <c r="A7" s="39">
        <f>IFERROR(__xludf.DUMMYFUNCTION("""COMPUTED_VALUE"""),5.0)</f>
        <v>5</v>
      </c>
      <c r="B7" s="40" t="str">
        <f>IFERROR(__xludf.DUMMYFUNCTION("""COMPUTED_VALUE"""),"Bael")</f>
        <v>Bael</v>
      </c>
      <c r="C7" s="39" t="str">
        <f>IFERROR(__xludf.DUMMYFUNCTION("""COMPUTED_VALUE"""),"NB-7")</f>
        <v>NB-7</v>
      </c>
      <c r="D7" s="39" t="str">
        <f>IFERROR(__xludf.DUMMYFUNCTION("""COMPUTED_VALUE"""),"Grafted")</f>
        <v>Grafted</v>
      </c>
      <c r="E7" s="39" t="str">
        <f>IFERROR(__xludf.DUMMYFUNCTION("""COMPUTED_VALUE"""),"Bael NB-7 + Bael")</f>
        <v>Bael NB-7 + Bael</v>
      </c>
      <c r="F7" s="39">
        <f>IFERROR(__xludf.DUMMYFUNCTION("""COMPUTED_VALUE"""),19.0)</f>
        <v>19</v>
      </c>
      <c r="G7" s="39">
        <f>IFERROR(__xludf.DUMMYFUNCTION("""COMPUTED_VALUE"""),0.0)</f>
        <v>0</v>
      </c>
      <c r="H7" s="39">
        <f>IFERROR(__xludf.DUMMYFUNCTION("""COMPUTED_VALUE"""),0.0)</f>
        <v>0</v>
      </c>
      <c r="I7" s="39">
        <f>IFERROR(__xludf.DUMMYFUNCTION("""COMPUTED_VALUE"""),1.0)</f>
        <v>1</v>
      </c>
      <c r="J7" s="39">
        <f>IFERROR(__xludf.DUMMYFUNCTION("""COMPUTED_VALUE"""),18.0)</f>
        <v>18</v>
      </c>
      <c r="K7" s="41">
        <f>IFERROR(__xludf.DUMMYFUNCTION("""COMPUTED_VALUE"""),12.0)</f>
        <v>12</v>
      </c>
      <c r="L7" s="41">
        <f>IFERROR(__xludf.DUMMYFUNCTION("""COMPUTED_VALUE"""),6.0)</f>
        <v>6</v>
      </c>
      <c r="M7" s="41">
        <f>IFERROR(__xludf.DUMMYFUNCTION("""COMPUTED_VALUE"""),0.0)</f>
        <v>0</v>
      </c>
      <c r="N7" s="41">
        <f>IFERROR(__xludf.DUMMYFUNCTION("""COMPUTED_VALUE"""),0.0)</f>
        <v>0</v>
      </c>
      <c r="O7" s="42">
        <f>IFERROR(__xludf.DUMMYFUNCTION("""COMPUTED_VALUE"""),0.0)</f>
        <v>0</v>
      </c>
      <c r="P7" s="42">
        <f>IFERROR(__xludf.DUMMYFUNCTION("""COMPUTED_VALUE"""),0.0)</f>
        <v>0</v>
      </c>
      <c r="Q7" s="42">
        <f>IFERROR(__xludf.DUMMYFUNCTION("""COMPUTED_VALUE"""),0.0)</f>
        <v>0</v>
      </c>
      <c r="R7" s="43"/>
      <c r="S7" s="43"/>
      <c r="T7" s="43"/>
      <c r="U7" s="43"/>
      <c r="V7" s="43"/>
      <c r="W7" s="43"/>
      <c r="X7" s="43"/>
    </row>
    <row r="8">
      <c r="A8" s="39">
        <f>IFERROR(__xludf.DUMMYFUNCTION("""COMPUTED_VALUE"""),6.0)</f>
        <v>6</v>
      </c>
      <c r="B8" s="40" t="str">
        <f>IFERROR(__xludf.DUMMYFUNCTION("""COMPUTED_VALUE"""),"Bael")</f>
        <v>Bael</v>
      </c>
      <c r="C8" s="39" t="str">
        <f>IFERROR(__xludf.DUMMYFUNCTION("""COMPUTED_VALUE"""),"NB-9")</f>
        <v>NB-9</v>
      </c>
      <c r="D8" s="39" t="str">
        <f>IFERROR(__xludf.DUMMYFUNCTION("""COMPUTED_VALUE"""),"Grafted")</f>
        <v>Grafted</v>
      </c>
      <c r="E8" s="39" t="str">
        <f>IFERROR(__xludf.DUMMYFUNCTION("""COMPUTED_VALUE"""),"Bael NB-9 + Bael")</f>
        <v>Bael NB-9 + Bael</v>
      </c>
      <c r="F8" s="39">
        <f>IFERROR(__xludf.DUMMYFUNCTION("""COMPUTED_VALUE"""),3.0)</f>
        <v>3</v>
      </c>
      <c r="G8" s="39">
        <f>IFERROR(__xludf.DUMMYFUNCTION("""COMPUTED_VALUE"""),0.0)</f>
        <v>0</v>
      </c>
      <c r="H8" s="39">
        <f>IFERROR(__xludf.DUMMYFUNCTION("""COMPUTED_VALUE"""),0.0)</f>
        <v>0</v>
      </c>
      <c r="I8" s="39">
        <f>IFERROR(__xludf.DUMMYFUNCTION("""COMPUTED_VALUE"""),0.0)</f>
        <v>0</v>
      </c>
      <c r="J8" s="39">
        <f>IFERROR(__xludf.DUMMYFUNCTION("""COMPUTED_VALUE"""),3.0)</f>
        <v>3</v>
      </c>
      <c r="K8" s="41">
        <f>IFERROR(__xludf.DUMMYFUNCTION("""COMPUTED_VALUE"""),3.0)</f>
        <v>3</v>
      </c>
      <c r="L8" s="41">
        <f>IFERROR(__xludf.DUMMYFUNCTION("""COMPUTED_VALUE"""),0.0)</f>
        <v>0</v>
      </c>
      <c r="M8" s="41">
        <f>IFERROR(__xludf.DUMMYFUNCTION("""COMPUTED_VALUE"""),0.0)</f>
        <v>0</v>
      </c>
      <c r="N8" s="41">
        <f>IFERROR(__xludf.DUMMYFUNCTION("""COMPUTED_VALUE"""),0.0)</f>
        <v>0</v>
      </c>
      <c r="O8" s="42">
        <f>IFERROR(__xludf.DUMMYFUNCTION("""COMPUTED_VALUE"""),0.0)</f>
        <v>0</v>
      </c>
      <c r="P8" s="42">
        <f>IFERROR(__xludf.DUMMYFUNCTION("""COMPUTED_VALUE"""),0.0)</f>
        <v>0</v>
      </c>
      <c r="Q8" s="42">
        <f>IFERROR(__xludf.DUMMYFUNCTION("""COMPUTED_VALUE"""),0.0)</f>
        <v>0</v>
      </c>
      <c r="R8" s="43"/>
      <c r="S8" s="43"/>
      <c r="T8" s="43"/>
      <c r="U8" s="43"/>
      <c r="V8" s="43"/>
      <c r="W8" s="43"/>
      <c r="X8" s="43"/>
    </row>
    <row r="9">
      <c r="A9" s="39">
        <f>IFERROR(__xludf.DUMMYFUNCTION("""COMPUTED_VALUE"""),7.0)</f>
        <v>7</v>
      </c>
      <c r="B9" s="40" t="str">
        <f>IFERROR(__xludf.DUMMYFUNCTION("""COMPUTED_VALUE"""),"Ber")</f>
        <v>Ber</v>
      </c>
      <c r="C9" s="39" t="str">
        <f>IFERROR(__xludf.DUMMYFUNCTION("""COMPUTED_VALUE"""),"Apple ")</f>
        <v>Apple </v>
      </c>
      <c r="D9" s="39" t="str">
        <f>IFERROR(__xludf.DUMMYFUNCTION("""COMPUTED_VALUE"""),"Grafted")</f>
        <v>Grafted</v>
      </c>
      <c r="E9" s="39" t="str">
        <f>IFERROR(__xludf.DUMMYFUNCTION("""COMPUTED_VALUE"""),"Apple Ber + Ber")</f>
        <v>Apple Ber + Ber</v>
      </c>
      <c r="F9" s="39">
        <f>IFERROR(__xludf.DUMMYFUNCTION("""COMPUTED_VALUE"""),70.0)</f>
        <v>70</v>
      </c>
      <c r="G9" s="39">
        <f>IFERROR(__xludf.DUMMYFUNCTION("""COMPUTED_VALUE"""),0.0)</f>
        <v>0</v>
      </c>
      <c r="H9" s="39">
        <f>IFERROR(__xludf.DUMMYFUNCTION("""COMPUTED_VALUE"""),0.0)</f>
        <v>0</v>
      </c>
      <c r="I9" s="39">
        <f>IFERROR(__xludf.DUMMYFUNCTION("""COMPUTED_VALUE"""),2.0)</f>
        <v>2</v>
      </c>
      <c r="J9" s="39">
        <f>IFERROR(__xludf.DUMMYFUNCTION("""COMPUTED_VALUE"""),68.0)</f>
        <v>68</v>
      </c>
      <c r="K9" s="41">
        <f>IFERROR(__xludf.DUMMYFUNCTION("""COMPUTED_VALUE"""),60.0)</f>
        <v>60</v>
      </c>
      <c r="L9" s="41">
        <f>IFERROR(__xludf.DUMMYFUNCTION("""COMPUTED_VALUE"""),8.0)</f>
        <v>8</v>
      </c>
      <c r="M9" s="41">
        <f>IFERROR(__xludf.DUMMYFUNCTION("""COMPUTED_VALUE"""),0.0)</f>
        <v>0</v>
      </c>
      <c r="N9" s="41">
        <f>IFERROR(__xludf.DUMMYFUNCTION("""COMPUTED_VALUE"""),0.0)</f>
        <v>0</v>
      </c>
      <c r="O9" s="42">
        <f>IFERROR(__xludf.DUMMYFUNCTION("""COMPUTED_VALUE"""),0.0)</f>
        <v>0</v>
      </c>
      <c r="P9" s="42">
        <f>IFERROR(__xludf.DUMMYFUNCTION("""COMPUTED_VALUE"""),0.0)</f>
        <v>0</v>
      </c>
      <c r="Q9" s="42">
        <f>IFERROR(__xludf.DUMMYFUNCTION("""COMPUTED_VALUE"""),0.0)</f>
        <v>0</v>
      </c>
      <c r="R9" s="43"/>
      <c r="S9" s="43"/>
      <c r="T9" s="43"/>
      <c r="U9" s="43"/>
      <c r="V9" s="43"/>
      <c r="W9" s="43"/>
      <c r="X9" s="43"/>
    </row>
    <row r="10">
      <c r="A10" s="39">
        <f>IFERROR(__xludf.DUMMYFUNCTION("""COMPUTED_VALUE"""),8.0)</f>
        <v>8</v>
      </c>
      <c r="B10" s="40" t="str">
        <f>IFERROR(__xludf.DUMMYFUNCTION("""COMPUTED_VALUE"""),"Curry Leaf")</f>
        <v>Curry Leaf</v>
      </c>
      <c r="C10" s="39" t="str">
        <f>IFERROR(__xludf.DUMMYFUNCTION("""COMPUTED_VALUE"""),"DWD-2")</f>
        <v>DWD-2</v>
      </c>
      <c r="D10" s="39" t="str">
        <f>IFERROR(__xludf.DUMMYFUNCTION("""COMPUTED_VALUE"""),"Cutting")</f>
        <v>Cutting</v>
      </c>
      <c r="E10" s="39" t="str">
        <f>IFERROR(__xludf.DUMMYFUNCTION("""COMPUTED_VALUE"""),"-")</f>
        <v>-</v>
      </c>
      <c r="F10" s="39">
        <f>IFERROR(__xludf.DUMMYFUNCTION("""COMPUTED_VALUE"""),52.0)</f>
        <v>52</v>
      </c>
      <c r="G10" s="39">
        <f>IFERROR(__xludf.DUMMYFUNCTION("""COMPUTED_VALUE"""),0.0)</f>
        <v>0</v>
      </c>
      <c r="H10" s="39">
        <f>IFERROR(__xludf.DUMMYFUNCTION("""COMPUTED_VALUE"""),0.0)</f>
        <v>0</v>
      </c>
      <c r="I10" s="39">
        <f>IFERROR(__xludf.DUMMYFUNCTION("""COMPUTED_VALUE"""),0.0)</f>
        <v>0</v>
      </c>
      <c r="J10" s="39">
        <f>IFERROR(__xludf.DUMMYFUNCTION("""COMPUTED_VALUE"""),52.0)</f>
        <v>52</v>
      </c>
      <c r="K10" s="41">
        <f>IFERROR(__xludf.DUMMYFUNCTION("""COMPUTED_VALUE"""),30.0)</f>
        <v>30</v>
      </c>
      <c r="L10" s="41">
        <f>IFERROR(__xludf.DUMMYFUNCTION("""COMPUTED_VALUE"""),22.0)</f>
        <v>22</v>
      </c>
      <c r="M10" s="41">
        <f>IFERROR(__xludf.DUMMYFUNCTION("""COMPUTED_VALUE"""),0.0)</f>
        <v>0</v>
      </c>
      <c r="N10" s="41">
        <f>IFERROR(__xludf.DUMMYFUNCTION("""COMPUTED_VALUE"""),0.0)</f>
        <v>0</v>
      </c>
      <c r="O10" s="42">
        <f>IFERROR(__xludf.DUMMYFUNCTION("""COMPUTED_VALUE"""),0.0)</f>
        <v>0</v>
      </c>
      <c r="P10" s="42">
        <f>IFERROR(__xludf.DUMMYFUNCTION("""COMPUTED_VALUE"""),0.0)</f>
        <v>0</v>
      </c>
      <c r="Q10" s="42">
        <f>IFERROR(__xludf.DUMMYFUNCTION("""COMPUTED_VALUE"""),0.0)</f>
        <v>0</v>
      </c>
      <c r="R10" s="43"/>
      <c r="S10" s="43"/>
      <c r="T10" s="43"/>
      <c r="U10" s="43"/>
      <c r="V10" s="43"/>
      <c r="W10" s="43"/>
      <c r="X10" s="43"/>
    </row>
    <row r="11">
      <c r="A11" s="39">
        <f>IFERROR(__xludf.DUMMYFUNCTION("""COMPUTED_VALUE"""),9.0)</f>
        <v>9</v>
      </c>
      <c r="B11" s="40" t="str">
        <f>IFERROR(__xludf.DUMMYFUNCTION("""COMPUTED_VALUE"""),"Dragon fruit ")</f>
        <v>Dragon fruit </v>
      </c>
      <c r="C11" s="39" t="str">
        <f>IFERROR(__xludf.DUMMYFUNCTION("""COMPUTED_VALUE"""),"Red")</f>
        <v>Red</v>
      </c>
      <c r="D11" s="39" t="str">
        <f>IFERROR(__xludf.DUMMYFUNCTION("""COMPUTED_VALUE"""),"Cutting")</f>
        <v>Cutting</v>
      </c>
      <c r="E11" s="39" t="str">
        <f>IFERROR(__xludf.DUMMYFUNCTION("""COMPUTED_VALUE"""),"-")</f>
        <v>-</v>
      </c>
      <c r="F11" s="39">
        <f>IFERROR(__xludf.DUMMYFUNCTION("""COMPUTED_VALUE"""),184.0)</f>
        <v>184</v>
      </c>
      <c r="G11" s="39">
        <f>IFERROR(__xludf.DUMMYFUNCTION("""COMPUTED_VALUE"""),0.0)</f>
        <v>0</v>
      </c>
      <c r="H11" s="39">
        <f>IFERROR(__xludf.DUMMYFUNCTION("""COMPUTED_VALUE"""),0.0)</f>
        <v>0</v>
      </c>
      <c r="I11" s="39">
        <f>IFERROR(__xludf.DUMMYFUNCTION("""COMPUTED_VALUE"""),2.0)</f>
        <v>2</v>
      </c>
      <c r="J11" s="39">
        <f>IFERROR(__xludf.DUMMYFUNCTION("""COMPUTED_VALUE"""),182.0)</f>
        <v>182</v>
      </c>
      <c r="K11" s="41">
        <f>IFERROR(__xludf.DUMMYFUNCTION("""COMPUTED_VALUE"""),120.0)</f>
        <v>120</v>
      </c>
      <c r="L11" s="41">
        <f>IFERROR(__xludf.DUMMYFUNCTION("""COMPUTED_VALUE"""),0.0)</f>
        <v>0</v>
      </c>
      <c r="M11" s="41">
        <f>IFERROR(__xludf.DUMMYFUNCTION("""COMPUTED_VALUE"""),62.0)</f>
        <v>62</v>
      </c>
      <c r="N11" s="41">
        <f>IFERROR(__xludf.DUMMYFUNCTION("""COMPUTED_VALUE"""),0.0)</f>
        <v>0</v>
      </c>
      <c r="O11" s="42">
        <f>IFERROR(__xludf.DUMMYFUNCTION("""COMPUTED_VALUE"""),0.0)</f>
        <v>0</v>
      </c>
      <c r="P11" s="42">
        <f>IFERROR(__xludf.DUMMYFUNCTION("""COMPUTED_VALUE"""),0.0)</f>
        <v>0</v>
      </c>
      <c r="Q11" s="42">
        <f>IFERROR(__xludf.DUMMYFUNCTION("""COMPUTED_VALUE"""),0.0)</f>
        <v>0</v>
      </c>
      <c r="R11" s="43"/>
      <c r="S11" s="43"/>
      <c r="T11" s="43"/>
      <c r="U11" s="43"/>
      <c r="V11" s="43"/>
      <c r="W11" s="43"/>
      <c r="X11" s="43"/>
    </row>
    <row r="12">
      <c r="A12" s="39">
        <f>IFERROR(__xludf.DUMMYFUNCTION("""COMPUTED_VALUE"""),10.0)</f>
        <v>10</v>
      </c>
      <c r="B12" s="40" t="str">
        <f>IFERROR(__xludf.DUMMYFUNCTION("""COMPUTED_VALUE"""),"Dragon fruit ")</f>
        <v>Dragon fruit </v>
      </c>
      <c r="C12" s="39" t="str">
        <f>IFERROR(__xludf.DUMMYFUNCTION("""COMPUTED_VALUE"""),"White ")</f>
        <v>White </v>
      </c>
      <c r="D12" s="39" t="str">
        <f>IFERROR(__xludf.DUMMYFUNCTION("""COMPUTED_VALUE"""),"Cutting")</f>
        <v>Cutting</v>
      </c>
      <c r="E12" s="39" t="str">
        <f>IFERROR(__xludf.DUMMYFUNCTION("""COMPUTED_VALUE"""),"-")</f>
        <v>-</v>
      </c>
      <c r="F12" s="39">
        <f>IFERROR(__xludf.DUMMYFUNCTION("""COMPUTED_VALUE"""),58.0)</f>
        <v>58</v>
      </c>
      <c r="G12" s="39">
        <f>IFERROR(__xludf.DUMMYFUNCTION("""COMPUTED_VALUE"""),0.0)</f>
        <v>0</v>
      </c>
      <c r="H12" s="39">
        <f>IFERROR(__xludf.DUMMYFUNCTION("""COMPUTED_VALUE"""),0.0)</f>
        <v>0</v>
      </c>
      <c r="I12" s="39">
        <f>IFERROR(__xludf.DUMMYFUNCTION("""COMPUTED_VALUE"""),0.0)</f>
        <v>0</v>
      </c>
      <c r="J12" s="39">
        <f>IFERROR(__xludf.DUMMYFUNCTION("""COMPUTED_VALUE"""),58.0)</f>
        <v>58</v>
      </c>
      <c r="K12" s="41">
        <f>IFERROR(__xludf.DUMMYFUNCTION("""COMPUTED_VALUE"""),50.0)</f>
        <v>50</v>
      </c>
      <c r="L12" s="41">
        <f>IFERROR(__xludf.DUMMYFUNCTION("""COMPUTED_VALUE"""),8.0)</f>
        <v>8</v>
      </c>
      <c r="M12" s="41">
        <f>IFERROR(__xludf.DUMMYFUNCTION("""COMPUTED_VALUE"""),0.0)</f>
        <v>0</v>
      </c>
      <c r="N12" s="41">
        <f>IFERROR(__xludf.DUMMYFUNCTION("""COMPUTED_VALUE"""),0.0)</f>
        <v>0</v>
      </c>
      <c r="O12" s="42">
        <f>IFERROR(__xludf.DUMMYFUNCTION("""COMPUTED_VALUE"""),0.0)</f>
        <v>0</v>
      </c>
      <c r="P12" s="42">
        <f>IFERROR(__xludf.DUMMYFUNCTION("""COMPUTED_VALUE"""),0.0)</f>
        <v>0</v>
      </c>
      <c r="Q12" s="42">
        <f>IFERROR(__xludf.DUMMYFUNCTION("""COMPUTED_VALUE"""),0.0)</f>
        <v>0</v>
      </c>
      <c r="R12" s="43"/>
      <c r="S12" s="43"/>
      <c r="T12" s="43"/>
      <c r="U12" s="43"/>
      <c r="V12" s="43"/>
      <c r="W12" s="43"/>
      <c r="X12" s="43"/>
    </row>
    <row r="13">
      <c r="A13" s="39">
        <f>IFERROR(__xludf.DUMMYFUNCTION("""COMPUTED_VALUE"""),11.0)</f>
        <v>11</v>
      </c>
      <c r="B13" s="40" t="str">
        <f>IFERROR(__xludf.DUMMYFUNCTION("""COMPUTED_VALUE"""),"Drum Stick")</f>
        <v>Drum Stick</v>
      </c>
      <c r="C13" s="39" t="str">
        <f>IFERROR(__xludf.DUMMYFUNCTION("""COMPUTED_VALUE"""),"VNR Moringa")</f>
        <v>VNR Moringa</v>
      </c>
      <c r="D13" s="39" t="str">
        <f>IFERROR(__xludf.DUMMYFUNCTION("""COMPUTED_VALUE"""),"Cutting")</f>
        <v>Cutting</v>
      </c>
      <c r="E13" s="39"/>
      <c r="F13" s="39">
        <f>IFERROR(__xludf.DUMMYFUNCTION("""COMPUTED_VALUE"""),21.0)</f>
        <v>21</v>
      </c>
      <c r="G13" s="39">
        <f>IFERROR(__xludf.DUMMYFUNCTION("""COMPUTED_VALUE"""),0.0)</f>
        <v>0</v>
      </c>
      <c r="H13" s="39">
        <f>IFERROR(__xludf.DUMMYFUNCTION("""COMPUTED_VALUE"""),0.0)</f>
        <v>0</v>
      </c>
      <c r="I13" s="39">
        <f>IFERROR(__xludf.DUMMYFUNCTION("""COMPUTED_VALUE"""),0.0)</f>
        <v>0</v>
      </c>
      <c r="J13" s="39">
        <f>IFERROR(__xludf.DUMMYFUNCTION("""COMPUTED_VALUE"""),21.0)</f>
        <v>21</v>
      </c>
      <c r="K13" s="41">
        <f>IFERROR(__xludf.DUMMYFUNCTION("""COMPUTED_VALUE"""),0.0)</f>
        <v>0</v>
      </c>
      <c r="L13" s="41">
        <f>IFERROR(__xludf.DUMMYFUNCTION("""COMPUTED_VALUE"""),0.0)</f>
        <v>0</v>
      </c>
      <c r="M13" s="41">
        <f>IFERROR(__xludf.DUMMYFUNCTION("""COMPUTED_VALUE"""),21.0)</f>
        <v>21</v>
      </c>
      <c r="N13" s="41">
        <f>IFERROR(__xludf.DUMMYFUNCTION("""COMPUTED_VALUE"""),0.0)</f>
        <v>0</v>
      </c>
      <c r="O13" s="42">
        <f>IFERROR(__xludf.DUMMYFUNCTION("""COMPUTED_VALUE"""),0.0)</f>
        <v>0</v>
      </c>
      <c r="P13" s="42">
        <f>IFERROR(__xludf.DUMMYFUNCTION("""COMPUTED_VALUE"""),0.0)</f>
        <v>0</v>
      </c>
      <c r="Q13" s="42">
        <f>IFERROR(__xludf.DUMMYFUNCTION("""COMPUTED_VALUE"""),0.0)</f>
        <v>0</v>
      </c>
      <c r="R13" s="43"/>
      <c r="S13" s="43"/>
      <c r="T13" s="43"/>
      <c r="U13" s="43"/>
      <c r="V13" s="43"/>
      <c r="W13" s="43"/>
      <c r="X13" s="43"/>
    </row>
    <row r="14">
      <c r="A14" s="39">
        <f>IFERROR(__xludf.DUMMYFUNCTION("""COMPUTED_VALUE"""),12.0)</f>
        <v>12</v>
      </c>
      <c r="B14" s="40" t="str">
        <f>IFERROR(__xludf.DUMMYFUNCTION("""COMPUTED_VALUE"""),"Fig")</f>
        <v>Fig</v>
      </c>
      <c r="C14" s="39" t="str">
        <f>IFERROR(__xludf.DUMMYFUNCTION("""COMPUTED_VALUE"""),"Deanna")</f>
        <v>Deanna</v>
      </c>
      <c r="D14" s="39" t="str">
        <f>IFERROR(__xludf.DUMMYFUNCTION("""COMPUTED_VALUE"""),"Cutting")</f>
        <v>Cutting</v>
      </c>
      <c r="E14" s="39" t="str">
        <f>IFERROR(__xludf.DUMMYFUNCTION("""COMPUTED_VALUE"""),"-")</f>
        <v>-</v>
      </c>
      <c r="F14" s="39">
        <f>IFERROR(__xludf.DUMMYFUNCTION("""COMPUTED_VALUE"""),38.0)</f>
        <v>38</v>
      </c>
      <c r="G14" s="39">
        <f>IFERROR(__xludf.DUMMYFUNCTION("""COMPUTED_VALUE"""),0.0)</f>
        <v>0</v>
      </c>
      <c r="H14" s="39">
        <f>IFERROR(__xludf.DUMMYFUNCTION("""COMPUTED_VALUE"""),3.0)</f>
        <v>3</v>
      </c>
      <c r="I14" s="39">
        <f>IFERROR(__xludf.DUMMYFUNCTION("""COMPUTED_VALUE"""),0.0)</f>
        <v>0</v>
      </c>
      <c r="J14" s="39">
        <f>IFERROR(__xludf.DUMMYFUNCTION("""COMPUTED_VALUE"""),35.0)</f>
        <v>35</v>
      </c>
      <c r="K14" s="41">
        <f>IFERROR(__xludf.DUMMYFUNCTION("""COMPUTED_VALUE"""),34.0)</f>
        <v>34</v>
      </c>
      <c r="L14" s="41">
        <f>IFERROR(__xludf.DUMMYFUNCTION("""COMPUTED_VALUE"""),1.0)</f>
        <v>1</v>
      </c>
      <c r="M14" s="41">
        <f>IFERROR(__xludf.DUMMYFUNCTION("""COMPUTED_VALUE"""),0.0)</f>
        <v>0</v>
      </c>
      <c r="N14" s="41">
        <f>IFERROR(__xludf.DUMMYFUNCTION("""COMPUTED_VALUE"""),0.0)</f>
        <v>0</v>
      </c>
      <c r="O14" s="42">
        <f>IFERROR(__xludf.DUMMYFUNCTION("""COMPUTED_VALUE"""),0.0)</f>
        <v>0</v>
      </c>
      <c r="P14" s="42">
        <f>IFERROR(__xludf.DUMMYFUNCTION("""COMPUTED_VALUE"""),0.0)</f>
        <v>0</v>
      </c>
      <c r="Q14" s="42">
        <f>IFERROR(__xludf.DUMMYFUNCTION("""COMPUTED_VALUE"""),0.0)</f>
        <v>0</v>
      </c>
      <c r="R14" s="43"/>
      <c r="S14" s="43"/>
      <c r="T14" s="43"/>
      <c r="U14" s="43"/>
      <c r="V14" s="43"/>
      <c r="W14" s="43"/>
      <c r="X14" s="43"/>
    </row>
    <row r="15">
      <c r="A15" s="39">
        <f>IFERROR(__xludf.DUMMYFUNCTION("""COMPUTED_VALUE"""),13.0)</f>
        <v>13</v>
      </c>
      <c r="B15" s="40" t="str">
        <f>IFERROR(__xludf.DUMMYFUNCTION("""COMPUTED_VALUE"""),"Fig")</f>
        <v>Fig</v>
      </c>
      <c r="C15" s="39" t="str">
        <f>IFERROR(__xludf.DUMMYFUNCTION("""COMPUTED_VALUE"""),"Excel")</f>
        <v>Excel</v>
      </c>
      <c r="D15" s="39" t="str">
        <f>IFERROR(__xludf.DUMMYFUNCTION("""COMPUTED_VALUE"""),"Cutting")</f>
        <v>Cutting</v>
      </c>
      <c r="E15" s="39" t="str">
        <f>IFERROR(__xludf.DUMMYFUNCTION("""COMPUTED_VALUE"""),"-")</f>
        <v>-</v>
      </c>
      <c r="F15" s="39">
        <f>IFERROR(__xludf.DUMMYFUNCTION("""COMPUTED_VALUE"""),22.0)</f>
        <v>22</v>
      </c>
      <c r="G15" s="39">
        <f>IFERROR(__xludf.DUMMYFUNCTION("""COMPUTED_VALUE"""),0.0)</f>
        <v>0</v>
      </c>
      <c r="H15" s="39">
        <f>IFERROR(__xludf.DUMMYFUNCTION("""COMPUTED_VALUE"""),0.0)</f>
        <v>0</v>
      </c>
      <c r="I15" s="39">
        <f>IFERROR(__xludf.DUMMYFUNCTION("""COMPUTED_VALUE"""),0.0)</f>
        <v>0</v>
      </c>
      <c r="J15" s="39">
        <f>IFERROR(__xludf.DUMMYFUNCTION("""COMPUTED_VALUE"""),22.0)</f>
        <v>22</v>
      </c>
      <c r="K15" s="41">
        <f>IFERROR(__xludf.DUMMYFUNCTION("""COMPUTED_VALUE"""),20.0)</f>
        <v>20</v>
      </c>
      <c r="L15" s="41">
        <f>IFERROR(__xludf.DUMMYFUNCTION("""COMPUTED_VALUE"""),2.0)</f>
        <v>2</v>
      </c>
      <c r="M15" s="41">
        <f>IFERROR(__xludf.DUMMYFUNCTION("""COMPUTED_VALUE"""),0.0)</f>
        <v>0</v>
      </c>
      <c r="N15" s="41">
        <f>IFERROR(__xludf.DUMMYFUNCTION("""COMPUTED_VALUE"""),0.0)</f>
        <v>0</v>
      </c>
      <c r="O15" s="42">
        <f>IFERROR(__xludf.DUMMYFUNCTION("""COMPUTED_VALUE"""),0.0)</f>
        <v>0</v>
      </c>
      <c r="P15" s="42">
        <f>IFERROR(__xludf.DUMMYFUNCTION("""COMPUTED_VALUE"""),0.0)</f>
        <v>0</v>
      </c>
      <c r="Q15" s="42">
        <f>IFERROR(__xludf.DUMMYFUNCTION("""COMPUTED_VALUE"""),0.0)</f>
        <v>0</v>
      </c>
      <c r="R15" s="43"/>
      <c r="S15" s="43"/>
      <c r="T15" s="43"/>
      <c r="U15" s="43"/>
      <c r="V15" s="43"/>
      <c r="W15" s="43"/>
      <c r="X15" s="43"/>
    </row>
    <row r="16">
      <c r="A16" s="39">
        <f>IFERROR(__xludf.DUMMYFUNCTION("""COMPUTED_VALUE"""),14.0)</f>
        <v>14</v>
      </c>
      <c r="B16" s="40" t="str">
        <f>IFERROR(__xludf.DUMMYFUNCTION("""COMPUTED_VALUE"""),"Fig")</f>
        <v>Fig</v>
      </c>
      <c r="C16" s="39" t="str">
        <f>IFERROR(__xludf.DUMMYFUNCTION("""COMPUTED_VALUE"""),"Daulatabad")</f>
        <v>Daulatabad</v>
      </c>
      <c r="D16" s="39" t="str">
        <f>IFERROR(__xludf.DUMMYFUNCTION("""COMPUTED_VALUE"""),"Cutting")</f>
        <v>Cutting</v>
      </c>
      <c r="E16" s="39" t="str">
        <f>IFERROR(__xludf.DUMMYFUNCTION("""COMPUTED_VALUE"""),"-")</f>
        <v>-</v>
      </c>
      <c r="F16" s="39">
        <f>IFERROR(__xludf.DUMMYFUNCTION("""COMPUTED_VALUE"""),36.0)</f>
        <v>36</v>
      </c>
      <c r="G16" s="39">
        <f>IFERROR(__xludf.DUMMYFUNCTION("""COMPUTED_VALUE"""),0.0)</f>
        <v>0</v>
      </c>
      <c r="H16" s="39">
        <f>IFERROR(__xludf.DUMMYFUNCTION("""COMPUTED_VALUE"""),0.0)</f>
        <v>0</v>
      </c>
      <c r="I16" s="39">
        <f>IFERROR(__xludf.DUMMYFUNCTION("""COMPUTED_VALUE"""),0.0)</f>
        <v>0</v>
      </c>
      <c r="J16" s="39">
        <f>IFERROR(__xludf.DUMMYFUNCTION("""COMPUTED_VALUE"""),36.0)</f>
        <v>36</v>
      </c>
      <c r="K16" s="41">
        <f>IFERROR(__xludf.DUMMYFUNCTION("""COMPUTED_VALUE"""),30.0)</f>
        <v>30</v>
      </c>
      <c r="L16" s="41">
        <f>IFERROR(__xludf.DUMMYFUNCTION("""COMPUTED_VALUE"""),6.0)</f>
        <v>6</v>
      </c>
      <c r="M16" s="41">
        <f>IFERROR(__xludf.DUMMYFUNCTION("""COMPUTED_VALUE"""),0.0)</f>
        <v>0</v>
      </c>
      <c r="N16" s="41">
        <f>IFERROR(__xludf.DUMMYFUNCTION("""COMPUTED_VALUE"""),0.0)</f>
        <v>0</v>
      </c>
      <c r="O16" s="42">
        <f>IFERROR(__xludf.DUMMYFUNCTION("""COMPUTED_VALUE"""),0.0)</f>
        <v>0</v>
      </c>
      <c r="P16" s="42">
        <f>IFERROR(__xludf.DUMMYFUNCTION("""COMPUTED_VALUE"""),0.0)</f>
        <v>0</v>
      </c>
      <c r="Q16" s="42">
        <f>IFERROR(__xludf.DUMMYFUNCTION("""COMPUTED_VALUE"""),0.0)</f>
        <v>0</v>
      </c>
      <c r="R16" s="43"/>
      <c r="S16" s="43"/>
      <c r="T16" s="43"/>
      <c r="U16" s="43"/>
      <c r="V16" s="43"/>
      <c r="W16" s="43"/>
      <c r="X16" s="43"/>
    </row>
    <row r="17">
      <c r="A17" s="39">
        <f>IFERROR(__xludf.DUMMYFUNCTION("""COMPUTED_VALUE"""),15.0)</f>
        <v>15</v>
      </c>
      <c r="B17" s="40" t="str">
        <f>IFERROR(__xludf.DUMMYFUNCTION("""COMPUTED_VALUE"""),"Grape fruit ")</f>
        <v>Grape fruit </v>
      </c>
      <c r="C17" s="39" t="str">
        <f>IFERROR(__xludf.DUMMYFUNCTION("""COMPUTED_VALUE"""),"VNR-Lali")</f>
        <v>VNR-Lali</v>
      </c>
      <c r="D17" s="39" t="str">
        <f>IFERROR(__xludf.DUMMYFUNCTION("""COMPUTED_VALUE"""),"Grafted")</f>
        <v>Grafted</v>
      </c>
      <c r="E17" s="39" t="str">
        <f>IFERROR(__xludf.DUMMYFUNCTION("""COMPUTED_VALUE"""),"Grapefruit + KK")</f>
        <v>Grapefruit + KK</v>
      </c>
      <c r="F17" s="39">
        <f>IFERROR(__xludf.DUMMYFUNCTION("""COMPUTED_VALUE"""),68.0)</f>
        <v>68</v>
      </c>
      <c r="G17" s="39">
        <f>IFERROR(__xludf.DUMMYFUNCTION("""COMPUTED_VALUE"""),0.0)</f>
        <v>0</v>
      </c>
      <c r="H17" s="39">
        <f>IFERROR(__xludf.DUMMYFUNCTION("""COMPUTED_VALUE"""),0.0)</f>
        <v>0</v>
      </c>
      <c r="I17" s="39">
        <f>IFERROR(__xludf.DUMMYFUNCTION("""COMPUTED_VALUE"""),0.0)</f>
        <v>0</v>
      </c>
      <c r="J17" s="39">
        <f>IFERROR(__xludf.DUMMYFUNCTION("""COMPUTED_VALUE"""),68.0)</f>
        <v>68</v>
      </c>
      <c r="K17" s="41">
        <f>IFERROR(__xludf.DUMMYFUNCTION("""COMPUTED_VALUE"""),64.0)</f>
        <v>64</v>
      </c>
      <c r="L17" s="41">
        <f>IFERROR(__xludf.DUMMYFUNCTION("""COMPUTED_VALUE"""),4.0)</f>
        <v>4</v>
      </c>
      <c r="M17" s="41">
        <f>IFERROR(__xludf.DUMMYFUNCTION("""COMPUTED_VALUE"""),0.0)</f>
        <v>0</v>
      </c>
      <c r="N17" s="41">
        <f>IFERROR(__xludf.DUMMYFUNCTION("""COMPUTED_VALUE"""),0.0)</f>
        <v>0</v>
      </c>
      <c r="O17" s="42">
        <f>IFERROR(__xludf.DUMMYFUNCTION("""COMPUTED_VALUE"""),0.0)</f>
        <v>0</v>
      </c>
      <c r="P17" s="42">
        <f>IFERROR(__xludf.DUMMYFUNCTION("""COMPUTED_VALUE"""),0.0)</f>
        <v>0</v>
      </c>
      <c r="Q17" s="42">
        <f>IFERROR(__xludf.DUMMYFUNCTION("""COMPUTED_VALUE"""),0.0)</f>
        <v>0</v>
      </c>
      <c r="R17" s="43"/>
      <c r="S17" s="43"/>
      <c r="T17" s="43"/>
      <c r="U17" s="43"/>
      <c r="V17" s="43"/>
      <c r="W17" s="43"/>
      <c r="X17" s="43"/>
    </row>
    <row r="18">
      <c r="A18" s="39">
        <f>IFERROR(__xludf.DUMMYFUNCTION("""COMPUTED_VALUE"""),16.0)</f>
        <v>16</v>
      </c>
      <c r="B18" s="40" t="str">
        <f>IFERROR(__xludf.DUMMYFUNCTION("""COMPUTED_VALUE"""),"Guava ")</f>
        <v>Guava </v>
      </c>
      <c r="C18" s="39" t="str">
        <f>IFERROR(__xludf.DUMMYFUNCTION("""COMPUTED_VALUE"""),"VNR Bihi")</f>
        <v>VNR Bihi</v>
      </c>
      <c r="D18" s="39" t="str">
        <f>IFERROR(__xludf.DUMMYFUNCTION("""COMPUTED_VALUE"""),"Grafted")</f>
        <v>Grafted</v>
      </c>
      <c r="E18" s="39" t="str">
        <f>IFERROR(__xludf.DUMMYFUNCTION("""COMPUTED_VALUE"""),"VNR BIHI + Guava")</f>
        <v>VNR BIHI + Guava</v>
      </c>
      <c r="F18" s="39">
        <f>IFERROR(__xludf.DUMMYFUNCTION("""COMPUTED_VALUE"""),33099.0)</f>
        <v>33099</v>
      </c>
      <c r="G18" s="39">
        <f>IFERROR(__xludf.DUMMYFUNCTION("""COMPUTED_VALUE"""),407.0)</f>
        <v>407</v>
      </c>
      <c r="H18" s="39">
        <f>IFERROR(__xludf.DUMMYFUNCTION("""COMPUTED_VALUE"""),4138.0)</f>
        <v>4138</v>
      </c>
      <c r="I18" s="39">
        <f>IFERROR(__xludf.DUMMYFUNCTION("""COMPUTED_VALUE"""),388.0)</f>
        <v>388</v>
      </c>
      <c r="J18" s="39">
        <f>IFERROR(__xludf.DUMMYFUNCTION("""COMPUTED_VALUE"""),28980.0)</f>
        <v>28980</v>
      </c>
      <c r="K18" s="41">
        <f>IFERROR(__xludf.DUMMYFUNCTION("""COMPUTED_VALUE"""),11820.0)</f>
        <v>11820</v>
      </c>
      <c r="L18" s="41">
        <f>IFERROR(__xludf.DUMMYFUNCTION("""COMPUTED_VALUE"""),11156.0)</f>
        <v>11156</v>
      </c>
      <c r="M18" s="41">
        <f>IFERROR(__xludf.DUMMYFUNCTION("""COMPUTED_VALUE"""),0.0)</f>
        <v>0</v>
      </c>
      <c r="N18" s="41">
        <f>IFERROR(__xludf.DUMMYFUNCTION("""COMPUTED_VALUE"""),2000.0)</f>
        <v>2000</v>
      </c>
      <c r="O18" s="42">
        <f>IFERROR(__xludf.DUMMYFUNCTION("""COMPUTED_VALUE"""),2800.0)</f>
        <v>2800</v>
      </c>
      <c r="P18" s="42">
        <f>IFERROR(__xludf.DUMMYFUNCTION("""COMPUTED_VALUE"""),407.0)</f>
        <v>407</v>
      </c>
      <c r="Q18" s="42">
        <f>IFERROR(__xludf.DUMMYFUNCTION("""COMPUTED_VALUE"""),797.0)</f>
        <v>797</v>
      </c>
      <c r="R18" s="43"/>
      <c r="S18" s="43"/>
      <c r="T18" s="43"/>
      <c r="U18" s="43"/>
      <c r="V18" s="43"/>
      <c r="W18" s="43"/>
      <c r="X18" s="43"/>
    </row>
    <row r="19">
      <c r="A19" s="39">
        <f>IFERROR(__xludf.DUMMYFUNCTION("""COMPUTED_VALUE"""),17.0)</f>
        <v>17</v>
      </c>
      <c r="B19" s="40" t="str">
        <f>IFERROR(__xludf.DUMMYFUNCTION("""COMPUTED_VALUE"""),"Guava")</f>
        <v>Guava</v>
      </c>
      <c r="C19" s="39" t="str">
        <f>IFERROR(__xludf.DUMMYFUNCTION("""COMPUTED_VALUE"""),"Carmine")</f>
        <v>Carmine</v>
      </c>
      <c r="D19" s="39" t="str">
        <f>IFERROR(__xludf.DUMMYFUNCTION("""COMPUTED_VALUE"""),"Grafted")</f>
        <v>Grafted</v>
      </c>
      <c r="E19" s="39" t="str">
        <f>IFERROR(__xludf.DUMMYFUNCTION("""COMPUTED_VALUE"""),"VNR Carmine + Guava")</f>
        <v>VNR Carmine + Guava</v>
      </c>
      <c r="F19" s="39">
        <f>IFERROR(__xludf.DUMMYFUNCTION("""COMPUTED_VALUE"""),6.0)</f>
        <v>6</v>
      </c>
      <c r="G19" s="39">
        <f>IFERROR(__xludf.DUMMYFUNCTION("""COMPUTED_VALUE"""),0.0)</f>
        <v>0</v>
      </c>
      <c r="H19" s="39">
        <f>IFERROR(__xludf.DUMMYFUNCTION("""COMPUTED_VALUE"""),5.0)</f>
        <v>5</v>
      </c>
      <c r="I19" s="39">
        <f>IFERROR(__xludf.DUMMYFUNCTION("""COMPUTED_VALUE"""),0.0)</f>
        <v>0</v>
      </c>
      <c r="J19" s="39">
        <f>IFERROR(__xludf.DUMMYFUNCTION("""COMPUTED_VALUE"""),1.0)</f>
        <v>1</v>
      </c>
      <c r="K19" s="41">
        <f>IFERROR(__xludf.DUMMYFUNCTION("""COMPUTED_VALUE"""),1.0)</f>
        <v>1</v>
      </c>
      <c r="L19" s="41">
        <f>IFERROR(__xludf.DUMMYFUNCTION("""COMPUTED_VALUE"""),0.0)</f>
        <v>0</v>
      </c>
      <c r="M19" s="41">
        <f>IFERROR(__xludf.DUMMYFUNCTION("""COMPUTED_VALUE"""),0.0)</f>
        <v>0</v>
      </c>
      <c r="N19" s="41">
        <f>IFERROR(__xludf.DUMMYFUNCTION("""COMPUTED_VALUE"""),0.0)</f>
        <v>0</v>
      </c>
      <c r="O19" s="42">
        <f>IFERROR(__xludf.DUMMYFUNCTION("""COMPUTED_VALUE"""),0.0)</f>
        <v>0</v>
      </c>
      <c r="P19" s="42">
        <f>IFERROR(__xludf.DUMMYFUNCTION("""COMPUTED_VALUE"""),0.0)</f>
        <v>0</v>
      </c>
      <c r="Q19" s="42">
        <f>IFERROR(__xludf.DUMMYFUNCTION("""COMPUTED_VALUE"""),0.0)</f>
        <v>0</v>
      </c>
      <c r="R19" s="43"/>
      <c r="S19" s="43"/>
      <c r="T19" s="43"/>
      <c r="U19" s="43"/>
      <c r="V19" s="43"/>
      <c r="W19" s="43"/>
      <c r="X19" s="43"/>
    </row>
    <row r="20">
      <c r="A20" s="39">
        <f>IFERROR(__xludf.DUMMYFUNCTION("""COMPUTED_VALUE"""),18.0)</f>
        <v>18</v>
      </c>
      <c r="B20" s="40" t="str">
        <f>IFERROR(__xludf.DUMMYFUNCTION("""COMPUTED_VALUE"""),"Jackfruit")</f>
        <v>Jackfruit</v>
      </c>
      <c r="C20" s="39" t="str">
        <f>IFERROR(__xludf.DUMMYFUNCTION("""COMPUTED_VALUE"""),"VNR - 1")</f>
        <v>VNR - 1</v>
      </c>
      <c r="D20" s="39" t="str">
        <f>IFERROR(__xludf.DUMMYFUNCTION("""COMPUTED_VALUE"""),"Grafted")</f>
        <v>Grafted</v>
      </c>
      <c r="E20" s="39" t="str">
        <f>IFERROR(__xludf.DUMMYFUNCTION("""COMPUTED_VALUE"""),"VNR Kathal + Jackfruit")</f>
        <v>VNR Kathal + Jackfruit</v>
      </c>
      <c r="F20" s="39">
        <f>IFERROR(__xludf.DUMMYFUNCTION("""COMPUTED_VALUE"""),10.0)</f>
        <v>10</v>
      </c>
      <c r="G20" s="39">
        <f>IFERROR(__xludf.DUMMYFUNCTION("""COMPUTED_VALUE"""),0.0)</f>
        <v>0</v>
      </c>
      <c r="H20" s="39">
        <f>IFERROR(__xludf.DUMMYFUNCTION("""COMPUTED_VALUE"""),0.0)</f>
        <v>0</v>
      </c>
      <c r="I20" s="39">
        <f>IFERROR(__xludf.DUMMYFUNCTION("""COMPUTED_VALUE"""),0.0)</f>
        <v>0</v>
      </c>
      <c r="J20" s="39">
        <f>IFERROR(__xludf.DUMMYFUNCTION("""COMPUTED_VALUE"""),10.0)</f>
        <v>10</v>
      </c>
      <c r="K20" s="41">
        <f>IFERROR(__xludf.DUMMYFUNCTION("""COMPUTED_VALUE"""),8.0)</f>
        <v>8</v>
      </c>
      <c r="L20" s="41">
        <f>IFERROR(__xludf.DUMMYFUNCTION("""COMPUTED_VALUE"""),2.0)</f>
        <v>2</v>
      </c>
      <c r="M20" s="41">
        <f>IFERROR(__xludf.DUMMYFUNCTION("""COMPUTED_VALUE"""),0.0)</f>
        <v>0</v>
      </c>
      <c r="N20" s="41">
        <f>IFERROR(__xludf.DUMMYFUNCTION("""COMPUTED_VALUE"""),0.0)</f>
        <v>0</v>
      </c>
      <c r="O20" s="42">
        <f>IFERROR(__xludf.DUMMYFUNCTION("""COMPUTED_VALUE"""),0.0)</f>
        <v>0</v>
      </c>
      <c r="P20" s="42">
        <f>IFERROR(__xludf.DUMMYFUNCTION("""COMPUTED_VALUE"""),0.0)</f>
        <v>0</v>
      </c>
      <c r="Q20" s="42">
        <f>IFERROR(__xludf.DUMMYFUNCTION("""COMPUTED_VALUE"""),0.0)</f>
        <v>0</v>
      </c>
      <c r="R20" s="43"/>
      <c r="S20" s="43"/>
      <c r="T20" s="43"/>
      <c r="U20" s="43"/>
      <c r="V20" s="43"/>
      <c r="W20" s="43"/>
      <c r="X20" s="43"/>
    </row>
    <row r="21">
      <c r="A21" s="39">
        <f>IFERROR(__xludf.DUMMYFUNCTION("""COMPUTED_VALUE"""),19.0)</f>
        <v>19</v>
      </c>
      <c r="B21" s="40" t="str">
        <f>IFERROR(__xludf.DUMMYFUNCTION("""COMPUTED_VALUE"""),"Jackfruit ")</f>
        <v>Jackfruit </v>
      </c>
      <c r="C21" s="39" t="str">
        <f>IFERROR(__xludf.DUMMYFUNCTION("""COMPUTED_VALUE"""),"VNR Jack - E")</f>
        <v>VNR Jack - E</v>
      </c>
      <c r="D21" s="39" t="str">
        <f>IFERROR(__xludf.DUMMYFUNCTION("""COMPUTED_VALUE"""),"Budded")</f>
        <v>Budded</v>
      </c>
      <c r="E21" s="39" t="str">
        <f>IFERROR(__xludf.DUMMYFUNCTION("""COMPUTED_VALUE"""),"Jack-E + Jackfruit")</f>
        <v>Jack-E + Jackfruit</v>
      </c>
      <c r="F21" s="39">
        <f>IFERROR(__xludf.DUMMYFUNCTION("""COMPUTED_VALUE"""),600.0)</f>
        <v>600</v>
      </c>
      <c r="G21" s="39">
        <f>IFERROR(__xludf.DUMMYFUNCTION("""COMPUTED_VALUE"""),0.0)</f>
        <v>0</v>
      </c>
      <c r="H21" s="39">
        <f>IFERROR(__xludf.DUMMYFUNCTION("""COMPUTED_VALUE"""),50.0)</f>
        <v>50</v>
      </c>
      <c r="I21" s="39">
        <f>IFERROR(__xludf.DUMMYFUNCTION("""COMPUTED_VALUE"""),1.0)</f>
        <v>1</v>
      </c>
      <c r="J21" s="39">
        <f>IFERROR(__xludf.DUMMYFUNCTION("""COMPUTED_VALUE"""),549.0)</f>
        <v>549</v>
      </c>
      <c r="K21" s="41">
        <f>IFERROR(__xludf.DUMMYFUNCTION("""COMPUTED_VALUE"""),168.0)</f>
        <v>168</v>
      </c>
      <c r="L21" s="41">
        <f>IFERROR(__xludf.DUMMYFUNCTION("""COMPUTED_VALUE"""),370.0)</f>
        <v>370</v>
      </c>
      <c r="M21" s="41">
        <f>IFERROR(__xludf.DUMMYFUNCTION("""COMPUTED_VALUE"""),11.0)</f>
        <v>11</v>
      </c>
      <c r="N21" s="41">
        <f>IFERROR(__xludf.DUMMYFUNCTION("""COMPUTED_VALUE"""),0.0)</f>
        <v>0</v>
      </c>
      <c r="O21" s="42">
        <f>IFERROR(__xludf.DUMMYFUNCTION("""COMPUTED_VALUE"""),0.0)</f>
        <v>0</v>
      </c>
      <c r="P21" s="42">
        <f>IFERROR(__xludf.DUMMYFUNCTION("""COMPUTED_VALUE"""),0.0)</f>
        <v>0</v>
      </c>
      <c r="Q21" s="42">
        <f>IFERROR(__xludf.DUMMYFUNCTION("""COMPUTED_VALUE"""),0.0)</f>
        <v>0</v>
      </c>
      <c r="R21" s="43"/>
      <c r="S21" s="43"/>
      <c r="T21" s="43"/>
      <c r="U21" s="43"/>
      <c r="V21" s="43"/>
      <c r="W21" s="43"/>
      <c r="X21" s="43"/>
    </row>
    <row r="22">
      <c r="A22" s="39">
        <f>IFERROR(__xludf.DUMMYFUNCTION("""COMPUTED_VALUE"""),20.0)</f>
        <v>20</v>
      </c>
      <c r="B22" s="40" t="str">
        <f>IFERROR(__xludf.DUMMYFUNCTION("""COMPUTED_VALUE"""),"Jamun")</f>
        <v>Jamun</v>
      </c>
      <c r="C22" s="39" t="str">
        <f>IFERROR(__xludf.DUMMYFUNCTION("""COMPUTED_VALUE"""),"Gomapriyanka")</f>
        <v>Gomapriyanka</v>
      </c>
      <c r="D22" s="39" t="str">
        <f>IFERROR(__xludf.DUMMYFUNCTION("""COMPUTED_VALUE"""),"Grafted")</f>
        <v>Grafted</v>
      </c>
      <c r="E22" s="39" t="str">
        <f>IFERROR(__xludf.DUMMYFUNCTION("""COMPUTED_VALUE"""),"Goma Priyanka + Jamun")</f>
        <v>Goma Priyanka + Jamun</v>
      </c>
      <c r="F22" s="39">
        <f>IFERROR(__xludf.DUMMYFUNCTION("""COMPUTED_VALUE"""),30.0)</f>
        <v>30</v>
      </c>
      <c r="G22" s="39">
        <f>IFERROR(__xludf.DUMMYFUNCTION("""COMPUTED_VALUE"""),0.0)</f>
        <v>0</v>
      </c>
      <c r="H22" s="39">
        <f>IFERROR(__xludf.DUMMYFUNCTION("""COMPUTED_VALUE"""),3.0)</f>
        <v>3</v>
      </c>
      <c r="I22" s="39">
        <f>IFERROR(__xludf.DUMMYFUNCTION("""COMPUTED_VALUE"""),0.0)</f>
        <v>0</v>
      </c>
      <c r="J22" s="39">
        <f>IFERROR(__xludf.DUMMYFUNCTION("""COMPUTED_VALUE"""),27.0)</f>
        <v>27</v>
      </c>
      <c r="K22" s="41">
        <f>IFERROR(__xludf.DUMMYFUNCTION("""COMPUTED_VALUE"""),20.0)</f>
        <v>20</v>
      </c>
      <c r="L22" s="41">
        <f>IFERROR(__xludf.DUMMYFUNCTION("""COMPUTED_VALUE"""),3.0)</f>
        <v>3</v>
      </c>
      <c r="M22" s="41">
        <f>IFERROR(__xludf.DUMMYFUNCTION("""COMPUTED_VALUE"""),4.0)</f>
        <v>4</v>
      </c>
      <c r="N22" s="41">
        <f>IFERROR(__xludf.DUMMYFUNCTION("""COMPUTED_VALUE"""),0.0)</f>
        <v>0</v>
      </c>
      <c r="O22" s="42">
        <f>IFERROR(__xludf.DUMMYFUNCTION("""COMPUTED_VALUE"""),0.0)</f>
        <v>0</v>
      </c>
      <c r="P22" s="42">
        <f>IFERROR(__xludf.DUMMYFUNCTION("""COMPUTED_VALUE"""),0.0)</f>
        <v>0</v>
      </c>
      <c r="Q22" s="42">
        <f>IFERROR(__xludf.DUMMYFUNCTION("""COMPUTED_VALUE"""),0.0)</f>
        <v>0</v>
      </c>
      <c r="R22" s="43"/>
      <c r="S22" s="43"/>
      <c r="T22" s="43"/>
      <c r="U22" s="43"/>
      <c r="V22" s="43"/>
      <c r="W22" s="43"/>
      <c r="X22" s="43"/>
    </row>
    <row r="23">
      <c r="A23" s="39">
        <f>IFERROR(__xludf.DUMMYFUNCTION("""COMPUTED_VALUE"""),21.0)</f>
        <v>21</v>
      </c>
      <c r="B23" s="40" t="str">
        <f>IFERROR(__xludf.DUMMYFUNCTION("""COMPUTED_VALUE"""),"Jamun")</f>
        <v>Jamun</v>
      </c>
      <c r="C23" s="39" t="str">
        <f>IFERROR(__xludf.DUMMYFUNCTION("""COMPUTED_VALUE""")," Bhadoli")</f>
        <v> Bhadoli</v>
      </c>
      <c r="D23" s="39" t="str">
        <f>IFERROR(__xludf.DUMMYFUNCTION("""COMPUTED_VALUE"""),"Grafted")</f>
        <v>Grafted</v>
      </c>
      <c r="E23" s="39" t="str">
        <f>IFERROR(__xludf.DUMMYFUNCTION("""COMPUTED_VALUE"""),"Badholi + Jamun")</f>
        <v>Badholi + Jamun</v>
      </c>
      <c r="F23" s="39">
        <f>IFERROR(__xludf.DUMMYFUNCTION("""COMPUTED_VALUE"""),26.0)</f>
        <v>26</v>
      </c>
      <c r="G23" s="39">
        <f>IFERROR(__xludf.DUMMYFUNCTION("""COMPUTED_VALUE"""),0.0)</f>
        <v>0</v>
      </c>
      <c r="H23" s="39">
        <f>IFERROR(__xludf.DUMMYFUNCTION("""COMPUTED_VALUE"""),0.0)</f>
        <v>0</v>
      </c>
      <c r="I23" s="39">
        <f>IFERROR(__xludf.DUMMYFUNCTION("""COMPUTED_VALUE"""),0.0)</f>
        <v>0</v>
      </c>
      <c r="J23" s="39">
        <f>IFERROR(__xludf.DUMMYFUNCTION("""COMPUTED_VALUE"""),26.0)</f>
        <v>26</v>
      </c>
      <c r="K23" s="41">
        <f>IFERROR(__xludf.DUMMYFUNCTION("""COMPUTED_VALUE"""),26.0)</f>
        <v>26</v>
      </c>
      <c r="L23" s="41">
        <f>IFERROR(__xludf.DUMMYFUNCTION("""COMPUTED_VALUE"""),0.0)</f>
        <v>0</v>
      </c>
      <c r="M23" s="41">
        <f>IFERROR(__xludf.DUMMYFUNCTION("""COMPUTED_VALUE"""),0.0)</f>
        <v>0</v>
      </c>
      <c r="N23" s="41">
        <f>IFERROR(__xludf.DUMMYFUNCTION("""COMPUTED_VALUE"""),0.0)</f>
        <v>0</v>
      </c>
      <c r="O23" s="42">
        <f>IFERROR(__xludf.DUMMYFUNCTION("""COMPUTED_VALUE"""),0.0)</f>
        <v>0</v>
      </c>
      <c r="P23" s="42">
        <f>IFERROR(__xludf.DUMMYFUNCTION("""COMPUTED_VALUE"""),0.0)</f>
        <v>0</v>
      </c>
      <c r="Q23" s="42">
        <f>IFERROR(__xludf.DUMMYFUNCTION("""COMPUTED_VALUE"""),0.0)</f>
        <v>0</v>
      </c>
      <c r="R23" s="43"/>
      <c r="S23" s="43"/>
      <c r="T23" s="43"/>
      <c r="U23" s="43"/>
      <c r="V23" s="43"/>
      <c r="W23" s="43"/>
      <c r="X23" s="43"/>
    </row>
    <row r="24">
      <c r="A24" s="39">
        <f>IFERROR(__xludf.DUMMYFUNCTION("""COMPUTED_VALUE"""),22.0)</f>
        <v>22</v>
      </c>
      <c r="B24" s="40" t="str">
        <f>IFERROR(__xludf.DUMMYFUNCTION("""COMPUTED_VALUE"""),"Kamrakh")</f>
        <v>Kamrakh</v>
      </c>
      <c r="C24" s="39" t="str">
        <f>IFERROR(__xludf.DUMMYFUNCTION("""COMPUTED_VALUE"""),"Naval")</f>
        <v>Naval</v>
      </c>
      <c r="D24" s="39" t="str">
        <f>IFERROR(__xludf.DUMMYFUNCTION("""COMPUTED_VALUE"""),"Grafted")</f>
        <v>Grafted</v>
      </c>
      <c r="E24" s="39" t="str">
        <f>IFERROR(__xludf.DUMMYFUNCTION("""COMPUTED_VALUE"""),"VNR Naval + Kamrakh")</f>
        <v>VNR Naval + Kamrakh</v>
      </c>
      <c r="F24" s="39">
        <f>IFERROR(__xludf.DUMMYFUNCTION("""COMPUTED_VALUE"""),18.0)</f>
        <v>18</v>
      </c>
      <c r="G24" s="39">
        <f>IFERROR(__xludf.DUMMYFUNCTION("""COMPUTED_VALUE"""),0.0)</f>
        <v>0</v>
      </c>
      <c r="H24" s="39">
        <f>IFERROR(__xludf.DUMMYFUNCTION("""COMPUTED_VALUE"""),5.0)</f>
        <v>5</v>
      </c>
      <c r="I24" s="39">
        <f>IFERROR(__xludf.DUMMYFUNCTION("""COMPUTED_VALUE"""),0.0)</f>
        <v>0</v>
      </c>
      <c r="J24" s="39">
        <f>IFERROR(__xludf.DUMMYFUNCTION("""COMPUTED_VALUE"""),13.0)</f>
        <v>13</v>
      </c>
      <c r="K24" s="41">
        <f>IFERROR(__xludf.DUMMYFUNCTION("""COMPUTED_VALUE"""),13.0)</f>
        <v>13</v>
      </c>
      <c r="L24" s="41">
        <f>IFERROR(__xludf.DUMMYFUNCTION("""COMPUTED_VALUE"""),0.0)</f>
        <v>0</v>
      </c>
      <c r="M24" s="41">
        <f>IFERROR(__xludf.DUMMYFUNCTION("""COMPUTED_VALUE"""),0.0)</f>
        <v>0</v>
      </c>
      <c r="N24" s="41">
        <f>IFERROR(__xludf.DUMMYFUNCTION("""COMPUTED_VALUE"""),0.0)</f>
        <v>0</v>
      </c>
      <c r="O24" s="42">
        <f>IFERROR(__xludf.DUMMYFUNCTION("""COMPUTED_VALUE"""),0.0)</f>
        <v>0</v>
      </c>
      <c r="P24" s="42">
        <f>IFERROR(__xludf.DUMMYFUNCTION("""COMPUTED_VALUE"""),0.0)</f>
        <v>0</v>
      </c>
      <c r="Q24" s="42">
        <f>IFERROR(__xludf.DUMMYFUNCTION("""COMPUTED_VALUE"""),0.0)</f>
        <v>0</v>
      </c>
      <c r="R24" s="43"/>
      <c r="S24" s="43"/>
      <c r="T24" s="43"/>
      <c r="U24" s="43"/>
      <c r="V24" s="43"/>
      <c r="W24" s="43"/>
      <c r="X24" s="43"/>
    </row>
    <row r="25">
      <c r="A25" s="39">
        <f>IFERROR(__xludf.DUMMYFUNCTION("""COMPUTED_VALUE"""),23.0)</f>
        <v>23</v>
      </c>
      <c r="B25" s="40" t="str">
        <f>IFERROR(__xludf.DUMMYFUNCTION("""COMPUTED_VALUE"""),"Kamrakh ")</f>
        <v>Kamrakh </v>
      </c>
      <c r="C25" s="39" t="str">
        <f>IFERROR(__xludf.DUMMYFUNCTION("""COMPUTED_VALUE"""),"Chakulia")</f>
        <v>Chakulia</v>
      </c>
      <c r="D25" s="39"/>
      <c r="E25" s="39"/>
      <c r="F25" s="39">
        <f>IFERROR(__xludf.DUMMYFUNCTION("""COMPUTED_VALUE"""),0.0)</f>
        <v>0</v>
      </c>
      <c r="G25" s="39">
        <f>IFERROR(__xludf.DUMMYFUNCTION("""COMPUTED_VALUE"""),0.0)</f>
        <v>0</v>
      </c>
      <c r="H25" s="39">
        <f>IFERROR(__xludf.DUMMYFUNCTION("""COMPUTED_VALUE"""),0.0)</f>
        <v>0</v>
      </c>
      <c r="I25" s="39">
        <f>IFERROR(__xludf.DUMMYFUNCTION("""COMPUTED_VALUE"""),0.0)</f>
        <v>0</v>
      </c>
      <c r="J25" s="39">
        <f>IFERROR(__xludf.DUMMYFUNCTION("""COMPUTED_VALUE"""),0.0)</f>
        <v>0</v>
      </c>
      <c r="K25" s="41">
        <f>IFERROR(__xludf.DUMMYFUNCTION("""COMPUTED_VALUE"""),0.0)</f>
        <v>0</v>
      </c>
      <c r="L25" s="41">
        <f>IFERROR(__xludf.DUMMYFUNCTION("""COMPUTED_VALUE"""),0.0)</f>
        <v>0</v>
      </c>
      <c r="M25" s="41">
        <f>IFERROR(__xludf.DUMMYFUNCTION("""COMPUTED_VALUE"""),0.0)</f>
        <v>0</v>
      </c>
      <c r="N25" s="41">
        <f>IFERROR(__xludf.DUMMYFUNCTION("""COMPUTED_VALUE"""),0.0)</f>
        <v>0</v>
      </c>
      <c r="O25" s="42">
        <f>IFERROR(__xludf.DUMMYFUNCTION("""COMPUTED_VALUE"""),0.0)</f>
        <v>0</v>
      </c>
      <c r="P25" s="42">
        <f>IFERROR(__xludf.DUMMYFUNCTION("""COMPUTED_VALUE"""),0.0)</f>
        <v>0</v>
      </c>
      <c r="Q25" s="42">
        <f>IFERROR(__xludf.DUMMYFUNCTION("""COMPUTED_VALUE"""),0.0)</f>
        <v>0</v>
      </c>
      <c r="R25" s="43"/>
      <c r="S25" s="43"/>
      <c r="T25" s="43"/>
      <c r="U25" s="43"/>
      <c r="V25" s="43"/>
      <c r="W25" s="43"/>
      <c r="X25" s="43"/>
    </row>
    <row r="26">
      <c r="A26" s="39">
        <f>IFERROR(__xludf.DUMMYFUNCTION("""COMPUTED_VALUE"""),24.0)</f>
        <v>24</v>
      </c>
      <c r="B26" s="40" t="str">
        <f>IFERROR(__xludf.DUMMYFUNCTION("""COMPUTED_VALUE"""),"karonda")</f>
        <v>karonda</v>
      </c>
      <c r="C26" s="39" t="str">
        <f>IFERROR(__xludf.DUMMYFUNCTION("""COMPUTED_VALUE"""),"VNR-1")</f>
        <v>VNR-1</v>
      </c>
      <c r="D26" s="39" t="str">
        <f>IFERROR(__xludf.DUMMYFUNCTION("""COMPUTED_VALUE"""),"Seedling")</f>
        <v>Seedling</v>
      </c>
      <c r="E26" s="39"/>
      <c r="F26" s="39">
        <f>IFERROR(__xludf.DUMMYFUNCTION("""COMPUTED_VALUE"""),90.0)</f>
        <v>90</v>
      </c>
      <c r="G26" s="39">
        <f>IFERROR(__xludf.DUMMYFUNCTION("""COMPUTED_VALUE"""),0.0)</f>
        <v>0</v>
      </c>
      <c r="H26" s="39">
        <f>IFERROR(__xludf.DUMMYFUNCTION("""COMPUTED_VALUE"""),0.0)</f>
        <v>0</v>
      </c>
      <c r="I26" s="39">
        <f>IFERROR(__xludf.DUMMYFUNCTION("""COMPUTED_VALUE"""),0.0)</f>
        <v>0</v>
      </c>
      <c r="J26" s="39">
        <f>IFERROR(__xludf.DUMMYFUNCTION("""COMPUTED_VALUE"""),90.0)</f>
        <v>90</v>
      </c>
      <c r="K26" s="41">
        <f>IFERROR(__xludf.DUMMYFUNCTION("""COMPUTED_VALUE"""),90.0)</f>
        <v>90</v>
      </c>
      <c r="L26" s="41">
        <f>IFERROR(__xludf.DUMMYFUNCTION("""COMPUTED_VALUE"""),0.0)</f>
        <v>0</v>
      </c>
      <c r="M26" s="41">
        <f>IFERROR(__xludf.DUMMYFUNCTION("""COMPUTED_VALUE"""),0.0)</f>
        <v>0</v>
      </c>
      <c r="N26" s="41">
        <f>IFERROR(__xludf.DUMMYFUNCTION("""COMPUTED_VALUE"""),0.0)</f>
        <v>0</v>
      </c>
      <c r="O26" s="42">
        <f>IFERROR(__xludf.DUMMYFUNCTION("""COMPUTED_VALUE"""),0.0)</f>
        <v>0</v>
      </c>
      <c r="P26" s="42">
        <f>IFERROR(__xludf.DUMMYFUNCTION("""COMPUTED_VALUE"""),0.0)</f>
        <v>0</v>
      </c>
      <c r="Q26" s="42">
        <f>IFERROR(__xludf.DUMMYFUNCTION("""COMPUTED_VALUE"""),0.0)</f>
        <v>0</v>
      </c>
      <c r="R26" s="43"/>
      <c r="S26" s="43"/>
      <c r="T26" s="43"/>
      <c r="U26" s="43"/>
      <c r="V26" s="43"/>
      <c r="W26" s="43"/>
      <c r="X26" s="43"/>
    </row>
    <row r="27">
      <c r="A27" s="39">
        <f>IFERROR(__xludf.DUMMYFUNCTION("""COMPUTED_VALUE"""),25.0)</f>
        <v>25</v>
      </c>
      <c r="B27" s="40" t="str">
        <f>IFERROR(__xludf.DUMMYFUNCTION("""COMPUTED_VALUE"""),"Karonda")</f>
        <v>Karonda</v>
      </c>
      <c r="C27" s="39" t="str">
        <f>IFERROR(__xludf.DUMMYFUNCTION("""COMPUTED_VALUE"""),"Americana")</f>
        <v>Americana</v>
      </c>
      <c r="D27" s="39" t="str">
        <f>IFERROR(__xludf.DUMMYFUNCTION("""COMPUTED_VALUE"""),"Seedling")</f>
        <v>Seedling</v>
      </c>
      <c r="E27" s="39"/>
      <c r="F27" s="39">
        <f>IFERROR(__xludf.DUMMYFUNCTION("""COMPUTED_VALUE"""),1909.0)</f>
        <v>1909</v>
      </c>
      <c r="G27" s="39">
        <f>IFERROR(__xludf.DUMMYFUNCTION("""COMPUTED_VALUE"""),0.0)</f>
        <v>0</v>
      </c>
      <c r="H27" s="39">
        <f>IFERROR(__xludf.DUMMYFUNCTION("""COMPUTED_VALUE"""),200.0)</f>
        <v>200</v>
      </c>
      <c r="I27" s="39">
        <f>IFERROR(__xludf.DUMMYFUNCTION("""COMPUTED_VALUE"""),0.0)</f>
        <v>0</v>
      </c>
      <c r="J27" s="39">
        <f>IFERROR(__xludf.DUMMYFUNCTION("""COMPUTED_VALUE"""),1709.0)</f>
        <v>1709</v>
      </c>
      <c r="K27" s="41">
        <f>IFERROR(__xludf.DUMMYFUNCTION("""COMPUTED_VALUE"""),1567.0)</f>
        <v>1567</v>
      </c>
      <c r="L27" s="41">
        <f>IFERROR(__xludf.DUMMYFUNCTION("""COMPUTED_VALUE"""),0.0)</f>
        <v>0</v>
      </c>
      <c r="M27" s="41">
        <f>IFERROR(__xludf.DUMMYFUNCTION("""COMPUTED_VALUE"""),100.0)</f>
        <v>100</v>
      </c>
      <c r="N27" s="41">
        <f>IFERROR(__xludf.DUMMYFUNCTION("""COMPUTED_VALUE"""),0.0)</f>
        <v>0</v>
      </c>
      <c r="O27" s="42">
        <f>IFERROR(__xludf.DUMMYFUNCTION("""COMPUTED_VALUE"""),0.0)</f>
        <v>0</v>
      </c>
      <c r="P27" s="42">
        <f>IFERROR(__xludf.DUMMYFUNCTION("""COMPUTED_VALUE"""),28.0)</f>
        <v>28</v>
      </c>
      <c r="Q27" s="42">
        <f>IFERROR(__xludf.DUMMYFUNCTION("""COMPUTED_VALUE"""),14.0)</f>
        <v>14</v>
      </c>
      <c r="R27" s="43"/>
      <c r="S27" s="43"/>
      <c r="T27" s="43"/>
      <c r="U27" s="43"/>
      <c r="V27" s="43"/>
      <c r="W27" s="43"/>
      <c r="X27" s="43"/>
    </row>
    <row r="28">
      <c r="A28" s="39">
        <f>IFERROR(__xludf.DUMMYFUNCTION("""COMPUTED_VALUE"""),26.0)</f>
        <v>26</v>
      </c>
      <c r="B28" s="40" t="str">
        <f>IFERROR(__xludf.DUMMYFUNCTION("""COMPUTED_VALUE"""),"Kinnow ")</f>
        <v>Kinnow </v>
      </c>
      <c r="C28" s="39" t="str">
        <f>IFERROR(__xludf.DUMMYFUNCTION("""COMPUTED_VALUE"""),"Mandarin ")</f>
        <v>Mandarin </v>
      </c>
      <c r="D28" s="39" t="str">
        <f>IFERROR(__xludf.DUMMYFUNCTION("""COMPUTED_VALUE"""),"Grafted")</f>
        <v>Grafted</v>
      </c>
      <c r="E28" s="39" t="str">
        <f>IFERROR(__xludf.DUMMYFUNCTION("""COMPUTED_VALUE"""),"Kinnow Mandarin + NC")</f>
        <v>Kinnow Mandarin + NC</v>
      </c>
      <c r="F28" s="39">
        <f>IFERROR(__xludf.DUMMYFUNCTION("""COMPUTED_VALUE"""),0.0)</f>
        <v>0</v>
      </c>
      <c r="G28" s="39">
        <f>IFERROR(__xludf.DUMMYFUNCTION("""COMPUTED_VALUE"""),0.0)</f>
        <v>0</v>
      </c>
      <c r="H28" s="39">
        <f>IFERROR(__xludf.DUMMYFUNCTION("""COMPUTED_VALUE"""),0.0)</f>
        <v>0</v>
      </c>
      <c r="I28" s="39">
        <f>IFERROR(__xludf.DUMMYFUNCTION("""COMPUTED_VALUE"""),0.0)</f>
        <v>0</v>
      </c>
      <c r="J28" s="39">
        <f>IFERROR(__xludf.DUMMYFUNCTION("""COMPUTED_VALUE"""),0.0)</f>
        <v>0</v>
      </c>
      <c r="K28" s="41">
        <f>IFERROR(__xludf.DUMMYFUNCTION("""COMPUTED_VALUE"""),0.0)</f>
        <v>0</v>
      </c>
      <c r="L28" s="41">
        <f>IFERROR(__xludf.DUMMYFUNCTION("""COMPUTED_VALUE"""),0.0)</f>
        <v>0</v>
      </c>
      <c r="M28" s="41">
        <f>IFERROR(__xludf.DUMMYFUNCTION("""COMPUTED_VALUE"""),0.0)</f>
        <v>0</v>
      </c>
      <c r="N28" s="41">
        <f>IFERROR(__xludf.DUMMYFUNCTION("""COMPUTED_VALUE"""),0.0)</f>
        <v>0</v>
      </c>
      <c r="O28" s="42">
        <f>IFERROR(__xludf.DUMMYFUNCTION("""COMPUTED_VALUE"""),0.0)</f>
        <v>0</v>
      </c>
      <c r="P28" s="42">
        <f>IFERROR(__xludf.DUMMYFUNCTION("""COMPUTED_VALUE"""),0.0)</f>
        <v>0</v>
      </c>
      <c r="Q28" s="42">
        <f>IFERROR(__xludf.DUMMYFUNCTION("""COMPUTED_VALUE"""),0.0)</f>
        <v>0</v>
      </c>
      <c r="R28" s="43"/>
      <c r="S28" s="43"/>
      <c r="T28" s="43"/>
      <c r="U28" s="43"/>
      <c r="V28" s="43"/>
      <c r="W28" s="43"/>
      <c r="X28" s="43"/>
    </row>
    <row r="29">
      <c r="A29" s="39">
        <f>IFERROR(__xludf.DUMMYFUNCTION("""COMPUTED_VALUE"""),27.0)</f>
        <v>27</v>
      </c>
      <c r="B29" s="40" t="str">
        <f>IFERROR(__xludf.DUMMYFUNCTION("""COMPUTED_VALUE"""),"Lemon")</f>
        <v>Lemon</v>
      </c>
      <c r="C29" s="39" t="str">
        <f>IFERROR(__xludf.DUMMYFUNCTION("""COMPUTED_VALUE"""),"Konkan Lemon")</f>
        <v>Konkan Lemon</v>
      </c>
      <c r="D29" s="39" t="str">
        <f>IFERROR(__xludf.DUMMYFUNCTION("""COMPUTED_VALUE"""),"Grafted")</f>
        <v>Grafted</v>
      </c>
      <c r="E29" s="39" t="str">
        <f>IFERROR(__xludf.DUMMYFUNCTION("""COMPUTED_VALUE"""),"Konkan Lemon + JB")</f>
        <v>Konkan Lemon + JB</v>
      </c>
      <c r="F29" s="39">
        <f>IFERROR(__xludf.DUMMYFUNCTION("""COMPUTED_VALUE"""),8.0)</f>
        <v>8</v>
      </c>
      <c r="G29" s="39">
        <f>IFERROR(__xludf.DUMMYFUNCTION("""COMPUTED_VALUE"""),0.0)</f>
        <v>0</v>
      </c>
      <c r="H29" s="39">
        <f>IFERROR(__xludf.DUMMYFUNCTION("""COMPUTED_VALUE"""),0.0)</f>
        <v>0</v>
      </c>
      <c r="I29" s="39">
        <f>IFERROR(__xludf.DUMMYFUNCTION("""COMPUTED_VALUE"""),0.0)</f>
        <v>0</v>
      </c>
      <c r="J29" s="39">
        <f>IFERROR(__xludf.DUMMYFUNCTION("""COMPUTED_VALUE"""),8.0)</f>
        <v>8</v>
      </c>
      <c r="K29" s="41">
        <f>IFERROR(__xludf.DUMMYFUNCTION("""COMPUTED_VALUE"""),6.0)</f>
        <v>6</v>
      </c>
      <c r="L29" s="41">
        <f>IFERROR(__xludf.DUMMYFUNCTION("""COMPUTED_VALUE"""),2.0)</f>
        <v>2</v>
      </c>
      <c r="M29" s="41">
        <f>IFERROR(__xludf.DUMMYFUNCTION("""COMPUTED_VALUE"""),0.0)</f>
        <v>0</v>
      </c>
      <c r="N29" s="41">
        <f>IFERROR(__xludf.DUMMYFUNCTION("""COMPUTED_VALUE"""),0.0)</f>
        <v>0</v>
      </c>
      <c r="O29" s="42">
        <f>IFERROR(__xludf.DUMMYFUNCTION("""COMPUTED_VALUE"""),0.0)</f>
        <v>0</v>
      </c>
      <c r="P29" s="42">
        <f>IFERROR(__xludf.DUMMYFUNCTION("""COMPUTED_VALUE"""),0.0)</f>
        <v>0</v>
      </c>
      <c r="Q29" s="42">
        <f>IFERROR(__xludf.DUMMYFUNCTION("""COMPUTED_VALUE"""),0.0)</f>
        <v>0</v>
      </c>
      <c r="R29" s="43"/>
      <c r="S29" s="43"/>
      <c r="T29" s="43"/>
      <c r="U29" s="43"/>
      <c r="V29" s="43"/>
      <c r="W29" s="43"/>
      <c r="X29" s="43"/>
    </row>
    <row r="30">
      <c r="A30" s="39">
        <f>IFERROR(__xludf.DUMMYFUNCTION("""COMPUTED_VALUE"""),28.0)</f>
        <v>28</v>
      </c>
      <c r="B30" s="40" t="str">
        <f>IFERROR(__xludf.DUMMYFUNCTION("""COMPUTED_VALUE"""),"Lemon")</f>
        <v>Lemon</v>
      </c>
      <c r="C30" s="39" t="str">
        <f>IFERROR(__xludf.DUMMYFUNCTION("""COMPUTED_VALUE"""),"VNR Sarbati")</f>
        <v>VNR Sarbati</v>
      </c>
      <c r="D30" s="39" t="str">
        <f>IFERROR(__xludf.DUMMYFUNCTION("""COMPUTED_VALUE"""),"Grafted")</f>
        <v>Grafted</v>
      </c>
      <c r="E30" s="39" t="str">
        <f>IFERROR(__xludf.DUMMYFUNCTION("""COMPUTED_VALUE"""),"Sharbati + JB")</f>
        <v>Sharbati + JB</v>
      </c>
      <c r="F30" s="39">
        <f>IFERROR(__xludf.DUMMYFUNCTION("""COMPUTED_VALUE"""),11.0)</f>
        <v>11</v>
      </c>
      <c r="G30" s="39">
        <f>IFERROR(__xludf.DUMMYFUNCTION("""COMPUTED_VALUE"""),0.0)</f>
        <v>0</v>
      </c>
      <c r="H30" s="39">
        <f>IFERROR(__xludf.DUMMYFUNCTION("""COMPUTED_VALUE"""),0.0)</f>
        <v>0</v>
      </c>
      <c r="I30" s="39">
        <f>IFERROR(__xludf.DUMMYFUNCTION("""COMPUTED_VALUE"""),0.0)</f>
        <v>0</v>
      </c>
      <c r="J30" s="39">
        <f>IFERROR(__xludf.DUMMYFUNCTION("""COMPUTED_VALUE"""),11.0)</f>
        <v>11</v>
      </c>
      <c r="K30" s="41">
        <f>IFERROR(__xludf.DUMMYFUNCTION("""COMPUTED_VALUE"""),9.0)</f>
        <v>9</v>
      </c>
      <c r="L30" s="41">
        <f>IFERROR(__xludf.DUMMYFUNCTION("""COMPUTED_VALUE"""),2.0)</f>
        <v>2</v>
      </c>
      <c r="M30" s="41">
        <f>IFERROR(__xludf.DUMMYFUNCTION("""COMPUTED_VALUE"""),0.0)</f>
        <v>0</v>
      </c>
      <c r="N30" s="41">
        <f>IFERROR(__xludf.DUMMYFUNCTION("""COMPUTED_VALUE"""),0.0)</f>
        <v>0</v>
      </c>
      <c r="O30" s="42">
        <f>IFERROR(__xludf.DUMMYFUNCTION("""COMPUTED_VALUE"""),0.0)</f>
        <v>0</v>
      </c>
      <c r="P30" s="42">
        <f>IFERROR(__xludf.DUMMYFUNCTION("""COMPUTED_VALUE"""),0.0)</f>
        <v>0</v>
      </c>
      <c r="Q30" s="42">
        <f>IFERROR(__xludf.DUMMYFUNCTION("""COMPUTED_VALUE"""),0.0)</f>
        <v>0</v>
      </c>
      <c r="R30" s="43"/>
      <c r="S30" s="43"/>
      <c r="T30" s="43"/>
      <c r="U30" s="43"/>
      <c r="V30" s="43"/>
      <c r="W30" s="43"/>
      <c r="X30" s="43"/>
    </row>
    <row r="31">
      <c r="A31" s="39">
        <f>IFERROR(__xludf.DUMMYFUNCTION("""COMPUTED_VALUE"""),29.0)</f>
        <v>29</v>
      </c>
      <c r="B31" s="40" t="str">
        <f>IFERROR(__xludf.DUMMYFUNCTION("""COMPUTED_VALUE"""),"Lemon")</f>
        <v>Lemon</v>
      </c>
      <c r="C31" s="39" t="str">
        <f>IFERROR(__xludf.DUMMYFUNCTION("""COMPUTED_VALUE"""),"VNR Mahesh")</f>
        <v>VNR Mahesh</v>
      </c>
      <c r="D31" s="39" t="str">
        <f>IFERROR(__xludf.DUMMYFUNCTION("""COMPUTED_VALUE"""),"Grafted")</f>
        <v>Grafted</v>
      </c>
      <c r="E31" s="39"/>
      <c r="F31" s="39">
        <f>IFERROR(__xludf.DUMMYFUNCTION("""COMPUTED_VALUE"""),25.0)</f>
        <v>25</v>
      </c>
      <c r="G31" s="39">
        <f>IFERROR(__xludf.DUMMYFUNCTION("""COMPUTED_VALUE"""),0.0)</f>
        <v>0</v>
      </c>
      <c r="H31" s="39">
        <f>IFERROR(__xludf.DUMMYFUNCTION("""COMPUTED_VALUE"""),0.0)</f>
        <v>0</v>
      </c>
      <c r="I31" s="39">
        <f>IFERROR(__xludf.DUMMYFUNCTION("""COMPUTED_VALUE"""),0.0)</f>
        <v>0</v>
      </c>
      <c r="J31" s="39">
        <f>IFERROR(__xludf.DUMMYFUNCTION("""COMPUTED_VALUE"""),25.0)</f>
        <v>25</v>
      </c>
      <c r="K31" s="41">
        <f>IFERROR(__xludf.DUMMYFUNCTION("""COMPUTED_VALUE"""),18.0)</f>
        <v>18</v>
      </c>
      <c r="L31" s="41">
        <f>IFERROR(__xludf.DUMMYFUNCTION("""COMPUTED_VALUE"""),4.0)</f>
        <v>4</v>
      </c>
      <c r="M31" s="41">
        <f>IFERROR(__xludf.DUMMYFUNCTION("""COMPUTED_VALUE"""),3.0)</f>
        <v>3</v>
      </c>
      <c r="N31" s="41">
        <f>IFERROR(__xludf.DUMMYFUNCTION("""COMPUTED_VALUE"""),0.0)</f>
        <v>0</v>
      </c>
      <c r="O31" s="42">
        <f>IFERROR(__xludf.DUMMYFUNCTION("""COMPUTED_VALUE"""),0.0)</f>
        <v>0</v>
      </c>
      <c r="P31" s="42">
        <f>IFERROR(__xludf.DUMMYFUNCTION("""COMPUTED_VALUE"""),0.0)</f>
        <v>0</v>
      </c>
      <c r="Q31" s="42">
        <f>IFERROR(__xludf.DUMMYFUNCTION("""COMPUTED_VALUE"""),0.0)</f>
        <v>0</v>
      </c>
      <c r="R31" s="43"/>
      <c r="S31" s="43"/>
      <c r="T31" s="43"/>
      <c r="U31" s="43"/>
      <c r="V31" s="43"/>
      <c r="W31" s="43"/>
      <c r="X31" s="43"/>
    </row>
    <row r="32">
      <c r="A32" s="39">
        <f>IFERROR(__xludf.DUMMYFUNCTION("""COMPUTED_VALUE"""),30.0)</f>
        <v>30</v>
      </c>
      <c r="B32" s="40" t="str">
        <f>IFERROR(__xludf.DUMMYFUNCTION("""COMPUTED_VALUE"""),"Lime ")</f>
        <v>Lime </v>
      </c>
      <c r="C32" s="39" t="str">
        <f>IFERROR(__xludf.DUMMYFUNCTION("""COMPUTED_VALUE"""),"VNR Parvati")</f>
        <v>VNR Parvati</v>
      </c>
      <c r="D32" s="39" t="str">
        <f>IFERROR(__xludf.DUMMYFUNCTION("""COMPUTED_VALUE"""),"Grafted")</f>
        <v>Grafted</v>
      </c>
      <c r="E32" s="39"/>
      <c r="F32" s="39">
        <f>IFERROR(__xludf.DUMMYFUNCTION("""COMPUTED_VALUE"""),28.0)</f>
        <v>28</v>
      </c>
      <c r="G32" s="39">
        <f>IFERROR(__xludf.DUMMYFUNCTION("""COMPUTED_VALUE"""),0.0)</f>
        <v>0</v>
      </c>
      <c r="H32" s="39">
        <f>IFERROR(__xludf.DUMMYFUNCTION("""COMPUTED_VALUE"""),0.0)</f>
        <v>0</v>
      </c>
      <c r="I32" s="39">
        <f>IFERROR(__xludf.DUMMYFUNCTION("""COMPUTED_VALUE"""),0.0)</f>
        <v>0</v>
      </c>
      <c r="J32" s="39">
        <f>IFERROR(__xludf.DUMMYFUNCTION("""COMPUTED_VALUE"""),28.0)</f>
        <v>28</v>
      </c>
      <c r="K32" s="41">
        <f>IFERROR(__xludf.DUMMYFUNCTION("""COMPUTED_VALUE"""),12.0)</f>
        <v>12</v>
      </c>
      <c r="L32" s="41">
        <f>IFERROR(__xludf.DUMMYFUNCTION("""COMPUTED_VALUE"""),14.0)</f>
        <v>14</v>
      </c>
      <c r="M32" s="41">
        <f>IFERROR(__xludf.DUMMYFUNCTION("""COMPUTED_VALUE"""),1.0)</f>
        <v>1</v>
      </c>
      <c r="N32" s="41">
        <f>IFERROR(__xludf.DUMMYFUNCTION("""COMPUTED_VALUE"""),0.0)</f>
        <v>0</v>
      </c>
      <c r="O32" s="42">
        <f>IFERROR(__xludf.DUMMYFUNCTION("""COMPUTED_VALUE"""),0.0)</f>
        <v>0</v>
      </c>
      <c r="P32" s="42">
        <f>IFERROR(__xludf.DUMMYFUNCTION("""COMPUTED_VALUE"""),0.0)</f>
        <v>0</v>
      </c>
      <c r="Q32" s="42">
        <f>IFERROR(__xludf.DUMMYFUNCTION("""COMPUTED_VALUE"""),1.0)</f>
        <v>1</v>
      </c>
      <c r="R32" s="43"/>
      <c r="S32" s="43"/>
      <c r="T32" s="43"/>
      <c r="U32" s="43"/>
      <c r="V32" s="43"/>
      <c r="W32" s="43"/>
      <c r="X32" s="43"/>
    </row>
    <row r="33">
      <c r="A33" s="39">
        <f>IFERROR(__xludf.DUMMYFUNCTION("""COMPUTED_VALUE"""),31.0)</f>
        <v>31</v>
      </c>
      <c r="B33" s="40" t="str">
        <f>IFERROR(__xludf.DUMMYFUNCTION("""COMPUTED_VALUE"""),"Lime")</f>
        <v>Lime</v>
      </c>
      <c r="C33" s="39" t="str">
        <f>IFERROR(__xludf.DUMMYFUNCTION("""COMPUTED_VALUE"""),"Balaji")</f>
        <v>Balaji</v>
      </c>
      <c r="D33" s="39" t="str">
        <f>IFERROR(__xludf.DUMMYFUNCTION("""COMPUTED_VALUE"""),"Seedling")</f>
        <v>Seedling</v>
      </c>
      <c r="E33" s="39"/>
      <c r="F33" s="39">
        <f>IFERROR(__xludf.DUMMYFUNCTION("""COMPUTED_VALUE"""),99.0)</f>
        <v>99</v>
      </c>
      <c r="G33" s="39">
        <f>IFERROR(__xludf.DUMMYFUNCTION("""COMPUTED_VALUE"""),0.0)</f>
        <v>0</v>
      </c>
      <c r="H33" s="39">
        <f>IFERROR(__xludf.DUMMYFUNCTION("""COMPUTED_VALUE"""),0.0)</f>
        <v>0</v>
      </c>
      <c r="I33" s="39">
        <f>IFERROR(__xludf.DUMMYFUNCTION("""COMPUTED_VALUE"""),0.0)</f>
        <v>0</v>
      </c>
      <c r="J33" s="39">
        <f>IFERROR(__xludf.DUMMYFUNCTION("""COMPUTED_VALUE"""),99.0)</f>
        <v>99</v>
      </c>
      <c r="K33" s="41">
        <f>IFERROR(__xludf.DUMMYFUNCTION("""COMPUTED_VALUE"""),30.0)</f>
        <v>30</v>
      </c>
      <c r="L33" s="41">
        <f>IFERROR(__xludf.DUMMYFUNCTION("""COMPUTED_VALUE"""),60.0)</f>
        <v>60</v>
      </c>
      <c r="M33" s="41">
        <f>IFERROR(__xludf.DUMMYFUNCTION("""COMPUTED_VALUE"""),9.0)</f>
        <v>9</v>
      </c>
      <c r="N33" s="41">
        <f>IFERROR(__xludf.DUMMYFUNCTION("""COMPUTED_VALUE"""),0.0)</f>
        <v>0</v>
      </c>
      <c r="O33" s="42">
        <f>IFERROR(__xludf.DUMMYFUNCTION("""COMPUTED_VALUE"""),0.0)</f>
        <v>0</v>
      </c>
      <c r="P33" s="42">
        <f>IFERROR(__xludf.DUMMYFUNCTION("""COMPUTED_VALUE"""),0.0)</f>
        <v>0</v>
      </c>
      <c r="Q33" s="42">
        <f>IFERROR(__xludf.DUMMYFUNCTION("""COMPUTED_VALUE"""),0.0)</f>
        <v>0</v>
      </c>
      <c r="R33" s="43"/>
      <c r="S33" s="43"/>
      <c r="T33" s="43"/>
      <c r="U33" s="43"/>
      <c r="V33" s="43"/>
      <c r="W33" s="43"/>
      <c r="X33" s="43"/>
    </row>
    <row r="34">
      <c r="A34" s="39">
        <f>IFERROR(__xludf.DUMMYFUNCTION("""COMPUTED_VALUE"""),32.0)</f>
        <v>32</v>
      </c>
      <c r="B34" s="40" t="str">
        <f>IFERROR(__xludf.DUMMYFUNCTION("""COMPUTED_VALUE"""),"Lime")</f>
        <v>Lime</v>
      </c>
      <c r="C34" s="39" t="str">
        <f>IFERROR(__xludf.DUMMYFUNCTION("""COMPUTED_VALUE"""),"VNR Rasvanti ")</f>
        <v>VNR Rasvanti </v>
      </c>
      <c r="D34" s="39" t="str">
        <f>IFERROR(__xludf.DUMMYFUNCTION("""COMPUTED_VALUE"""),"Grafted")</f>
        <v>Grafted</v>
      </c>
      <c r="E34" s="39"/>
      <c r="F34" s="39">
        <f>IFERROR(__xludf.DUMMYFUNCTION("""COMPUTED_VALUE"""),231.0)</f>
        <v>231</v>
      </c>
      <c r="G34" s="39">
        <f>IFERROR(__xludf.DUMMYFUNCTION("""COMPUTED_VALUE"""),0.0)</f>
        <v>0</v>
      </c>
      <c r="H34" s="39">
        <f>IFERROR(__xludf.DUMMYFUNCTION("""COMPUTED_VALUE"""),0.0)</f>
        <v>0</v>
      </c>
      <c r="I34" s="39">
        <f>IFERROR(__xludf.DUMMYFUNCTION("""COMPUTED_VALUE"""),0.0)</f>
        <v>0</v>
      </c>
      <c r="J34" s="39">
        <f>IFERROR(__xludf.DUMMYFUNCTION("""COMPUTED_VALUE"""),231.0)</f>
        <v>231</v>
      </c>
      <c r="K34" s="41">
        <f>IFERROR(__xludf.DUMMYFUNCTION("""COMPUTED_VALUE"""),190.0)</f>
        <v>190</v>
      </c>
      <c r="L34" s="41">
        <f>IFERROR(__xludf.DUMMYFUNCTION("""COMPUTED_VALUE"""),29.0)</f>
        <v>29</v>
      </c>
      <c r="M34" s="41">
        <f>IFERROR(__xludf.DUMMYFUNCTION("""COMPUTED_VALUE"""),12.0)</f>
        <v>12</v>
      </c>
      <c r="N34" s="41">
        <f>IFERROR(__xludf.DUMMYFUNCTION("""COMPUTED_VALUE"""),0.0)</f>
        <v>0</v>
      </c>
      <c r="O34" s="42">
        <f>IFERROR(__xludf.DUMMYFUNCTION("""COMPUTED_VALUE"""),0.0)</f>
        <v>0</v>
      </c>
      <c r="P34" s="42">
        <f>IFERROR(__xludf.DUMMYFUNCTION("""COMPUTED_VALUE"""),0.0)</f>
        <v>0</v>
      </c>
      <c r="Q34" s="42">
        <f>IFERROR(__xludf.DUMMYFUNCTION("""COMPUTED_VALUE"""),0.0)</f>
        <v>0</v>
      </c>
      <c r="R34" s="43"/>
      <c r="S34" s="43"/>
      <c r="T34" s="43"/>
      <c r="U34" s="43"/>
      <c r="V34" s="43"/>
      <c r="W34" s="43"/>
      <c r="X34" s="43"/>
    </row>
    <row r="35">
      <c r="A35" s="39">
        <f>IFERROR(__xludf.DUMMYFUNCTION("""COMPUTED_VALUE"""),33.0)</f>
        <v>33</v>
      </c>
      <c r="B35" s="40" t="str">
        <f>IFERROR(__xludf.DUMMYFUNCTION("""COMPUTED_VALUE"""),"Lime")</f>
        <v>Lime</v>
      </c>
      <c r="C35" s="39" t="str">
        <f>IFERROR(__xludf.DUMMYFUNCTION("""COMPUTED_VALUE"""),"VNR -1")</f>
        <v>VNR -1</v>
      </c>
      <c r="D35" s="39" t="str">
        <f>IFERROR(__xludf.DUMMYFUNCTION("""COMPUTED_VALUE"""),"Seedling")</f>
        <v>Seedling</v>
      </c>
      <c r="E35" s="39"/>
      <c r="F35" s="39">
        <f>IFERROR(__xludf.DUMMYFUNCTION("""COMPUTED_VALUE"""),2.0)</f>
        <v>2</v>
      </c>
      <c r="G35" s="39">
        <f>IFERROR(__xludf.DUMMYFUNCTION("""COMPUTED_VALUE"""),0.0)</f>
        <v>0</v>
      </c>
      <c r="H35" s="39">
        <f>IFERROR(__xludf.DUMMYFUNCTION("""COMPUTED_VALUE"""),0.0)</f>
        <v>0</v>
      </c>
      <c r="I35" s="39">
        <f>IFERROR(__xludf.DUMMYFUNCTION("""COMPUTED_VALUE"""),0.0)</f>
        <v>0</v>
      </c>
      <c r="J35" s="39">
        <f>IFERROR(__xludf.DUMMYFUNCTION("""COMPUTED_VALUE"""),2.0)</f>
        <v>2</v>
      </c>
      <c r="K35" s="41">
        <f>IFERROR(__xludf.DUMMYFUNCTION("""COMPUTED_VALUE"""),2.0)</f>
        <v>2</v>
      </c>
      <c r="L35" s="41">
        <f>IFERROR(__xludf.DUMMYFUNCTION("""COMPUTED_VALUE"""),0.0)</f>
        <v>0</v>
      </c>
      <c r="M35" s="41">
        <f>IFERROR(__xludf.DUMMYFUNCTION("""COMPUTED_VALUE"""),0.0)</f>
        <v>0</v>
      </c>
      <c r="N35" s="41">
        <f>IFERROR(__xludf.DUMMYFUNCTION("""COMPUTED_VALUE"""),0.0)</f>
        <v>0</v>
      </c>
      <c r="O35" s="42">
        <f>IFERROR(__xludf.DUMMYFUNCTION("""COMPUTED_VALUE"""),0.0)</f>
        <v>0</v>
      </c>
      <c r="P35" s="42">
        <f>IFERROR(__xludf.DUMMYFUNCTION("""COMPUTED_VALUE"""),0.0)</f>
        <v>0</v>
      </c>
      <c r="Q35" s="42">
        <f>IFERROR(__xludf.DUMMYFUNCTION("""COMPUTED_VALUE"""),0.0)</f>
        <v>0</v>
      </c>
      <c r="R35" s="43"/>
      <c r="S35" s="43"/>
      <c r="T35" s="43"/>
      <c r="U35" s="43"/>
      <c r="V35" s="43"/>
      <c r="W35" s="43"/>
      <c r="X35" s="43"/>
    </row>
    <row r="36">
      <c r="A36" s="39">
        <f>IFERROR(__xludf.DUMMYFUNCTION("""COMPUTED_VALUE"""),34.0)</f>
        <v>34</v>
      </c>
      <c r="B36" s="40" t="str">
        <f>IFERROR(__xludf.DUMMYFUNCTION("""COMPUTED_VALUE"""),"Lime ")</f>
        <v>Lime </v>
      </c>
      <c r="C36" s="39" t="str">
        <f>IFERROR(__xludf.DUMMYFUNCTION("""COMPUTED_VALUE"""),"VNR SAMEER ")</f>
        <v>VNR SAMEER </v>
      </c>
      <c r="D36" s="39" t="str">
        <f>IFERROR(__xludf.DUMMYFUNCTION("""COMPUTED_VALUE"""),"Grafted")</f>
        <v>Grafted</v>
      </c>
      <c r="E36" s="39"/>
      <c r="F36" s="39">
        <f>IFERROR(__xludf.DUMMYFUNCTION("""COMPUTED_VALUE"""),649.0)</f>
        <v>649</v>
      </c>
      <c r="G36" s="39">
        <f>IFERROR(__xludf.DUMMYFUNCTION("""COMPUTED_VALUE"""),0.0)</f>
        <v>0</v>
      </c>
      <c r="H36" s="39">
        <f>IFERROR(__xludf.DUMMYFUNCTION("""COMPUTED_VALUE"""),0.0)</f>
        <v>0</v>
      </c>
      <c r="I36" s="39">
        <f>IFERROR(__xludf.DUMMYFUNCTION("""COMPUTED_VALUE"""),0.0)</f>
        <v>0</v>
      </c>
      <c r="J36" s="39">
        <f>IFERROR(__xludf.DUMMYFUNCTION("""COMPUTED_VALUE"""),649.0)</f>
        <v>649</v>
      </c>
      <c r="K36" s="41">
        <f>IFERROR(__xludf.DUMMYFUNCTION("""COMPUTED_VALUE"""),500.0)</f>
        <v>500</v>
      </c>
      <c r="L36" s="41">
        <f>IFERROR(__xludf.DUMMYFUNCTION("""COMPUTED_VALUE"""),100.0)</f>
        <v>100</v>
      </c>
      <c r="M36" s="41">
        <f>IFERROR(__xludf.DUMMYFUNCTION("""COMPUTED_VALUE"""),49.0)</f>
        <v>49</v>
      </c>
      <c r="N36" s="41">
        <f>IFERROR(__xludf.DUMMYFUNCTION("""COMPUTED_VALUE"""),0.0)</f>
        <v>0</v>
      </c>
      <c r="O36" s="42">
        <f>IFERROR(__xludf.DUMMYFUNCTION("""COMPUTED_VALUE"""),0.0)</f>
        <v>0</v>
      </c>
      <c r="P36" s="42">
        <f>IFERROR(__xludf.DUMMYFUNCTION("""COMPUTED_VALUE"""),0.0)</f>
        <v>0</v>
      </c>
      <c r="Q36" s="42">
        <f>IFERROR(__xludf.DUMMYFUNCTION("""COMPUTED_VALUE"""),0.0)</f>
        <v>0</v>
      </c>
      <c r="R36" s="43"/>
      <c r="S36" s="43"/>
      <c r="T36" s="43"/>
      <c r="U36" s="43"/>
      <c r="V36" s="43"/>
      <c r="W36" s="43"/>
      <c r="X36" s="43"/>
    </row>
    <row r="37">
      <c r="A37" s="39">
        <f>IFERROR(__xludf.DUMMYFUNCTION("""COMPUTED_VALUE"""),35.0)</f>
        <v>35</v>
      </c>
      <c r="B37" s="40" t="str">
        <f>IFERROR(__xludf.DUMMYFUNCTION("""COMPUTED_VALUE"""),"Mosambi")</f>
        <v>Mosambi</v>
      </c>
      <c r="C37" s="39" t="str">
        <f>IFERROR(__xludf.DUMMYFUNCTION("""COMPUTED_VALUE"""),"Katol Gold")</f>
        <v>Katol Gold</v>
      </c>
      <c r="D37" s="39" t="str">
        <f>IFERROR(__xludf.DUMMYFUNCTION("""COMPUTED_VALUE"""),"Grafted")</f>
        <v>Grafted</v>
      </c>
      <c r="E37" s="39" t="str">
        <f>IFERROR(__xludf.DUMMYFUNCTION("""COMPUTED_VALUE"""),"Katol Gold + JB")</f>
        <v>Katol Gold + JB</v>
      </c>
      <c r="F37" s="39">
        <f>IFERROR(__xludf.DUMMYFUNCTION("""COMPUTED_VALUE"""),11.0)</f>
        <v>11</v>
      </c>
      <c r="G37" s="39">
        <f>IFERROR(__xludf.DUMMYFUNCTION("""COMPUTED_VALUE"""),0.0)</f>
        <v>0</v>
      </c>
      <c r="H37" s="39">
        <f>IFERROR(__xludf.DUMMYFUNCTION("""COMPUTED_VALUE"""),0.0)</f>
        <v>0</v>
      </c>
      <c r="I37" s="39">
        <f>IFERROR(__xludf.DUMMYFUNCTION("""COMPUTED_VALUE"""),0.0)</f>
        <v>0</v>
      </c>
      <c r="J37" s="39">
        <f>IFERROR(__xludf.DUMMYFUNCTION("""COMPUTED_VALUE"""),11.0)</f>
        <v>11</v>
      </c>
      <c r="K37" s="41">
        <f>IFERROR(__xludf.DUMMYFUNCTION("""COMPUTED_VALUE"""),10.0)</f>
        <v>10</v>
      </c>
      <c r="L37" s="41">
        <f>IFERROR(__xludf.DUMMYFUNCTION("""COMPUTED_VALUE"""),1.0)</f>
        <v>1</v>
      </c>
      <c r="M37" s="41">
        <f>IFERROR(__xludf.DUMMYFUNCTION("""COMPUTED_VALUE"""),0.0)</f>
        <v>0</v>
      </c>
      <c r="N37" s="41">
        <f>IFERROR(__xludf.DUMMYFUNCTION("""COMPUTED_VALUE"""),0.0)</f>
        <v>0</v>
      </c>
      <c r="O37" s="42">
        <f>IFERROR(__xludf.DUMMYFUNCTION("""COMPUTED_VALUE"""),0.0)</f>
        <v>0</v>
      </c>
      <c r="P37" s="42">
        <f>IFERROR(__xludf.DUMMYFUNCTION("""COMPUTED_VALUE"""),0.0)</f>
        <v>0</v>
      </c>
      <c r="Q37" s="42">
        <f>IFERROR(__xludf.DUMMYFUNCTION("""COMPUTED_VALUE"""),0.0)</f>
        <v>0</v>
      </c>
      <c r="R37" s="43"/>
      <c r="S37" s="43"/>
      <c r="T37" s="43"/>
      <c r="U37" s="43"/>
      <c r="V37" s="43"/>
      <c r="W37" s="43"/>
      <c r="X37" s="43"/>
    </row>
    <row r="38">
      <c r="A38" s="39">
        <f>IFERROR(__xludf.DUMMYFUNCTION("""COMPUTED_VALUE"""),36.0)</f>
        <v>36</v>
      </c>
      <c r="B38" s="40" t="str">
        <f>IFERROR(__xludf.DUMMYFUNCTION("""COMPUTED_VALUE"""),"Mosambi")</f>
        <v>Mosambi</v>
      </c>
      <c r="C38" s="39" t="str">
        <f>IFERROR(__xludf.DUMMYFUNCTION("""COMPUTED_VALUE"""),"Nuceller")</f>
        <v>Nuceller</v>
      </c>
      <c r="D38" s="39" t="str">
        <f>IFERROR(__xludf.DUMMYFUNCTION("""COMPUTED_VALUE"""),"Grafted")</f>
        <v>Grafted</v>
      </c>
      <c r="E38" s="39" t="str">
        <f>IFERROR(__xludf.DUMMYFUNCTION("""COMPUTED_VALUE"""),"Nuceller + KK")</f>
        <v>Nuceller + KK</v>
      </c>
      <c r="F38" s="39">
        <f>IFERROR(__xludf.DUMMYFUNCTION("""COMPUTED_VALUE"""),279.0)</f>
        <v>279</v>
      </c>
      <c r="G38" s="39">
        <f>IFERROR(__xludf.DUMMYFUNCTION("""COMPUTED_VALUE"""),0.0)</f>
        <v>0</v>
      </c>
      <c r="H38" s="39">
        <f>IFERROR(__xludf.DUMMYFUNCTION("""COMPUTED_VALUE"""),0.0)</f>
        <v>0</v>
      </c>
      <c r="I38" s="39">
        <f>IFERROR(__xludf.DUMMYFUNCTION("""COMPUTED_VALUE"""),0.0)</f>
        <v>0</v>
      </c>
      <c r="J38" s="39">
        <f>IFERROR(__xludf.DUMMYFUNCTION("""COMPUTED_VALUE"""),279.0)</f>
        <v>279</v>
      </c>
      <c r="K38" s="41">
        <f>IFERROR(__xludf.DUMMYFUNCTION("""COMPUTED_VALUE"""),30.0)</f>
        <v>30</v>
      </c>
      <c r="L38" s="41">
        <f>IFERROR(__xludf.DUMMYFUNCTION("""COMPUTED_VALUE"""),40.0)</f>
        <v>40</v>
      </c>
      <c r="M38" s="41">
        <f>IFERROR(__xludf.DUMMYFUNCTION("""COMPUTED_VALUE"""),209.0)</f>
        <v>209</v>
      </c>
      <c r="N38" s="41">
        <f>IFERROR(__xludf.DUMMYFUNCTION("""COMPUTED_VALUE"""),0.0)</f>
        <v>0</v>
      </c>
      <c r="O38" s="42">
        <f>IFERROR(__xludf.DUMMYFUNCTION("""COMPUTED_VALUE"""),0.0)</f>
        <v>0</v>
      </c>
      <c r="P38" s="42">
        <f>IFERROR(__xludf.DUMMYFUNCTION("""COMPUTED_VALUE"""),0.0)</f>
        <v>0</v>
      </c>
      <c r="Q38" s="42">
        <f>IFERROR(__xludf.DUMMYFUNCTION("""COMPUTED_VALUE"""),0.0)</f>
        <v>0</v>
      </c>
      <c r="R38" s="43"/>
      <c r="S38" s="43"/>
      <c r="T38" s="43"/>
      <c r="U38" s="43"/>
      <c r="V38" s="43"/>
      <c r="W38" s="43"/>
      <c r="X38" s="43"/>
    </row>
    <row r="39">
      <c r="A39" s="39">
        <f>IFERROR(__xludf.DUMMYFUNCTION("""COMPUTED_VALUE"""),37.0)</f>
        <v>37</v>
      </c>
      <c r="B39" s="40" t="str">
        <f>IFERROR(__xludf.DUMMYFUNCTION("""COMPUTED_VALUE"""),"Mulberry")</f>
        <v>Mulberry</v>
      </c>
      <c r="C39" s="39" t="str">
        <f>IFERROR(__xludf.DUMMYFUNCTION("""COMPUTED_VALUE"""),"Long Purple")</f>
        <v>Long Purple</v>
      </c>
      <c r="D39" s="39" t="str">
        <f>IFERROR(__xludf.DUMMYFUNCTION("""COMPUTED_VALUE"""),"Cutting")</f>
        <v>Cutting</v>
      </c>
      <c r="E39" s="39" t="str">
        <f>IFERROR(__xludf.DUMMYFUNCTION("""COMPUTED_VALUE"""),"-")</f>
        <v>-</v>
      </c>
      <c r="F39" s="39">
        <f>IFERROR(__xludf.DUMMYFUNCTION("""COMPUTED_VALUE"""),79.0)</f>
        <v>79</v>
      </c>
      <c r="G39" s="39">
        <f>IFERROR(__xludf.DUMMYFUNCTION("""COMPUTED_VALUE"""),0.0)</f>
        <v>0</v>
      </c>
      <c r="H39" s="39">
        <f>IFERROR(__xludf.DUMMYFUNCTION("""COMPUTED_VALUE"""),0.0)</f>
        <v>0</v>
      </c>
      <c r="I39" s="39">
        <f>IFERROR(__xludf.DUMMYFUNCTION("""COMPUTED_VALUE"""),0.0)</f>
        <v>0</v>
      </c>
      <c r="J39" s="39">
        <f>IFERROR(__xludf.DUMMYFUNCTION("""COMPUTED_VALUE"""),79.0)</f>
        <v>79</v>
      </c>
      <c r="K39" s="41">
        <f>IFERROR(__xludf.DUMMYFUNCTION("""COMPUTED_VALUE"""),67.0)</f>
        <v>67</v>
      </c>
      <c r="L39" s="41">
        <f>IFERROR(__xludf.DUMMYFUNCTION("""COMPUTED_VALUE"""),12.0)</f>
        <v>12</v>
      </c>
      <c r="M39" s="41">
        <f>IFERROR(__xludf.DUMMYFUNCTION("""COMPUTED_VALUE"""),0.0)</f>
        <v>0</v>
      </c>
      <c r="N39" s="41">
        <f>IFERROR(__xludf.DUMMYFUNCTION("""COMPUTED_VALUE"""),0.0)</f>
        <v>0</v>
      </c>
      <c r="O39" s="42">
        <f>IFERROR(__xludf.DUMMYFUNCTION("""COMPUTED_VALUE"""),0.0)</f>
        <v>0</v>
      </c>
      <c r="P39" s="42">
        <f>IFERROR(__xludf.DUMMYFUNCTION("""COMPUTED_VALUE"""),0.0)</f>
        <v>0</v>
      </c>
      <c r="Q39" s="42">
        <f>IFERROR(__xludf.DUMMYFUNCTION("""COMPUTED_VALUE"""),0.0)</f>
        <v>0</v>
      </c>
      <c r="R39" s="43"/>
      <c r="S39" s="43"/>
      <c r="T39" s="43"/>
      <c r="U39" s="43"/>
      <c r="V39" s="43"/>
      <c r="W39" s="43"/>
      <c r="X39" s="43"/>
    </row>
    <row r="40">
      <c r="A40" s="39">
        <f>IFERROR(__xludf.DUMMYFUNCTION("""COMPUTED_VALUE"""),38.0)</f>
        <v>38</v>
      </c>
      <c r="B40" s="40" t="str">
        <f>IFERROR(__xludf.DUMMYFUNCTION("""COMPUTED_VALUE"""),"Pomelo")</f>
        <v>Pomelo</v>
      </c>
      <c r="C40" s="39" t="str">
        <f>IFERROR(__xludf.DUMMYFUNCTION("""COMPUTED_VALUE"""),"VNR - Amber")</f>
        <v>VNR - Amber</v>
      </c>
      <c r="D40" s="39" t="str">
        <f>IFERROR(__xludf.DUMMYFUNCTION("""COMPUTED_VALUE"""),"Budded")</f>
        <v>Budded</v>
      </c>
      <c r="E40" s="39" t="str">
        <f>IFERROR(__xludf.DUMMYFUNCTION("""COMPUTED_VALUE"""),"VNR - AMBER + JB")</f>
        <v>VNR - AMBER + JB</v>
      </c>
      <c r="F40" s="39">
        <f>IFERROR(__xludf.DUMMYFUNCTION("""COMPUTED_VALUE"""),0.0)</f>
        <v>0</v>
      </c>
      <c r="G40" s="39">
        <f>IFERROR(__xludf.DUMMYFUNCTION("""COMPUTED_VALUE"""),0.0)</f>
        <v>0</v>
      </c>
      <c r="H40" s="39">
        <f>IFERROR(__xludf.DUMMYFUNCTION("""COMPUTED_VALUE"""),0.0)</f>
        <v>0</v>
      </c>
      <c r="I40" s="39">
        <f>IFERROR(__xludf.DUMMYFUNCTION("""COMPUTED_VALUE"""),0.0)</f>
        <v>0</v>
      </c>
      <c r="J40" s="39">
        <f>IFERROR(__xludf.DUMMYFUNCTION("""COMPUTED_VALUE"""),0.0)</f>
        <v>0</v>
      </c>
      <c r="K40" s="41">
        <f>IFERROR(__xludf.DUMMYFUNCTION("""COMPUTED_VALUE"""),0.0)</f>
        <v>0</v>
      </c>
      <c r="L40" s="41">
        <f>IFERROR(__xludf.DUMMYFUNCTION("""COMPUTED_VALUE"""),0.0)</f>
        <v>0</v>
      </c>
      <c r="M40" s="41">
        <f>IFERROR(__xludf.DUMMYFUNCTION("""COMPUTED_VALUE"""),0.0)</f>
        <v>0</v>
      </c>
      <c r="N40" s="41">
        <f>IFERROR(__xludf.DUMMYFUNCTION("""COMPUTED_VALUE"""),0.0)</f>
        <v>0</v>
      </c>
      <c r="O40" s="42">
        <f>IFERROR(__xludf.DUMMYFUNCTION("""COMPUTED_VALUE"""),0.0)</f>
        <v>0</v>
      </c>
      <c r="P40" s="42">
        <f>IFERROR(__xludf.DUMMYFUNCTION("""COMPUTED_VALUE"""),0.0)</f>
        <v>0</v>
      </c>
      <c r="Q40" s="42">
        <f>IFERROR(__xludf.DUMMYFUNCTION("""COMPUTED_VALUE"""),0.0)</f>
        <v>0</v>
      </c>
      <c r="R40" s="43"/>
      <c r="S40" s="43"/>
      <c r="T40" s="43"/>
      <c r="U40" s="43"/>
      <c r="V40" s="43"/>
      <c r="W40" s="43"/>
      <c r="X40" s="43"/>
    </row>
    <row r="41">
      <c r="A41" s="39">
        <f>IFERROR(__xludf.DUMMYFUNCTION("""COMPUTED_VALUE"""),39.0)</f>
        <v>39</v>
      </c>
      <c r="B41" s="40" t="str">
        <f>IFERROR(__xludf.DUMMYFUNCTION("""COMPUTED_VALUE"""),"Pomelo")</f>
        <v>Pomelo</v>
      </c>
      <c r="C41" s="39" t="str">
        <f>IFERROR(__xludf.DUMMYFUNCTION("""COMPUTED_VALUE"""),"VNR- Crystal")</f>
        <v>VNR- Crystal</v>
      </c>
      <c r="D41" s="39" t="str">
        <f>IFERROR(__xludf.DUMMYFUNCTION("""COMPUTED_VALUE"""),"Grafted")</f>
        <v>Grafted</v>
      </c>
      <c r="E41" s="39" t="str">
        <f>IFERROR(__xludf.DUMMYFUNCTION("""COMPUTED_VALUE"""),"VNR Crystal + NC")</f>
        <v>VNR Crystal + NC</v>
      </c>
      <c r="F41" s="39">
        <f>IFERROR(__xludf.DUMMYFUNCTION("""COMPUTED_VALUE"""),33.0)</f>
        <v>33</v>
      </c>
      <c r="G41" s="39">
        <f>IFERROR(__xludf.DUMMYFUNCTION("""COMPUTED_VALUE"""),0.0)</f>
        <v>0</v>
      </c>
      <c r="H41" s="39">
        <f>IFERROR(__xludf.DUMMYFUNCTION("""COMPUTED_VALUE"""),5.0)</f>
        <v>5</v>
      </c>
      <c r="I41" s="39">
        <f>IFERROR(__xludf.DUMMYFUNCTION("""COMPUTED_VALUE"""),1.0)</f>
        <v>1</v>
      </c>
      <c r="J41" s="39">
        <f>IFERROR(__xludf.DUMMYFUNCTION("""COMPUTED_VALUE"""),27.0)</f>
        <v>27</v>
      </c>
      <c r="K41" s="41">
        <f>IFERROR(__xludf.DUMMYFUNCTION("""COMPUTED_VALUE"""),0.0)</f>
        <v>0</v>
      </c>
      <c r="L41" s="41">
        <f>IFERROR(__xludf.DUMMYFUNCTION("""COMPUTED_VALUE"""),12.0)</f>
        <v>12</v>
      </c>
      <c r="M41" s="41">
        <f>IFERROR(__xludf.DUMMYFUNCTION("""COMPUTED_VALUE"""),12.0)</f>
        <v>12</v>
      </c>
      <c r="N41" s="41">
        <f>IFERROR(__xludf.DUMMYFUNCTION("""COMPUTED_VALUE"""),0.0)</f>
        <v>0</v>
      </c>
      <c r="O41" s="42">
        <f>IFERROR(__xludf.DUMMYFUNCTION("""COMPUTED_VALUE"""),0.0)</f>
        <v>0</v>
      </c>
      <c r="P41" s="42">
        <f>IFERROR(__xludf.DUMMYFUNCTION("""COMPUTED_VALUE"""),0.0)</f>
        <v>0</v>
      </c>
      <c r="Q41" s="42">
        <f>IFERROR(__xludf.DUMMYFUNCTION("""COMPUTED_VALUE"""),3.0)</f>
        <v>3</v>
      </c>
      <c r="R41" s="43"/>
      <c r="S41" s="43"/>
      <c r="T41" s="43"/>
      <c r="U41" s="43"/>
      <c r="V41" s="43"/>
      <c r="W41" s="43"/>
      <c r="X41" s="43"/>
    </row>
    <row r="42">
      <c r="A42" s="39">
        <f>IFERROR(__xludf.DUMMYFUNCTION("""COMPUTED_VALUE"""),40.0)</f>
        <v>40</v>
      </c>
      <c r="B42" s="40" t="str">
        <f>IFERROR(__xludf.DUMMYFUNCTION("""COMPUTED_VALUE"""),"Sitaphal ")</f>
        <v>Sitaphal </v>
      </c>
      <c r="C42" s="39" t="str">
        <f>IFERROR(__xludf.DUMMYFUNCTION("""COMPUTED_VALUE"""),"VNR-Madhur")</f>
        <v>VNR-Madhur</v>
      </c>
      <c r="D42" s="39" t="str">
        <f>IFERROR(__xludf.DUMMYFUNCTION("""COMPUTED_VALUE"""),"Grafted")</f>
        <v>Grafted</v>
      </c>
      <c r="E42" s="39" t="str">
        <f>IFERROR(__xludf.DUMMYFUNCTION("""COMPUTED_VALUE"""),"VNR Madhur + BN")</f>
        <v>VNR Madhur + BN</v>
      </c>
      <c r="F42" s="39">
        <f>IFERROR(__xludf.DUMMYFUNCTION("""COMPUTED_VALUE"""),34624.0)</f>
        <v>34624</v>
      </c>
      <c r="G42" s="39">
        <f>IFERROR(__xludf.DUMMYFUNCTION("""COMPUTED_VALUE"""),71.0)</f>
        <v>71</v>
      </c>
      <c r="H42" s="39">
        <f>IFERROR(__xludf.DUMMYFUNCTION("""COMPUTED_VALUE"""),0.0)</f>
        <v>0</v>
      </c>
      <c r="I42" s="39">
        <f>IFERROR(__xludf.DUMMYFUNCTION("""COMPUTED_VALUE"""),0.0)</f>
        <v>0</v>
      </c>
      <c r="J42" s="39">
        <f>IFERROR(__xludf.DUMMYFUNCTION("""COMPUTED_VALUE"""),34695.0)</f>
        <v>34695</v>
      </c>
      <c r="K42" s="41">
        <f>IFERROR(__xludf.DUMMYFUNCTION("""COMPUTED_VALUE"""),2882.0)</f>
        <v>2882</v>
      </c>
      <c r="L42" s="41">
        <f>IFERROR(__xludf.DUMMYFUNCTION("""COMPUTED_VALUE"""),5000.0)</f>
        <v>5000</v>
      </c>
      <c r="M42" s="41">
        <f>IFERROR(__xludf.DUMMYFUNCTION("""COMPUTED_VALUE"""),5000.0)</f>
        <v>5000</v>
      </c>
      <c r="N42" s="41">
        <f>IFERROR(__xludf.DUMMYFUNCTION("""COMPUTED_VALUE"""),4000.0)</f>
        <v>4000</v>
      </c>
      <c r="O42" s="42">
        <f>IFERROR(__xludf.DUMMYFUNCTION("""COMPUTED_VALUE"""),6986.0)</f>
        <v>6986</v>
      </c>
      <c r="P42" s="42">
        <f>IFERROR(__xludf.DUMMYFUNCTION("""COMPUTED_VALUE"""),7621.0)</f>
        <v>7621</v>
      </c>
      <c r="Q42" s="42">
        <f>IFERROR(__xludf.DUMMYFUNCTION("""COMPUTED_VALUE"""),3156.0)</f>
        <v>3156</v>
      </c>
      <c r="R42" s="43"/>
      <c r="S42" s="43"/>
      <c r="T42" s="43"/>
      <c r="U42" s="43"/>
      <c r="V42" s="43"/>
      <c r="W42" s="43"/>
      <c r="X42" s="43"/>
    </row>
    <row r="43">
      <c r="A43" s="39">
        <f>IFERROR(__xludf.DUMMYFUNCTION("""COMPUTED_VALUE"""),41.0)</f>
        <v>41</v>
      </c>
      <c r="B43" s="40" t="str">
        <f>IFERROR(__xludf.DUMMYFUNCTION("""COMPUTED_VALUE"""),"Sitaphal ")</f>
        <v>Sitaphal </v>
      </c>
      <c r="C43" s="39" t="str">
        <f>IFERROR(__xludf.DUMMYFUNCTION("""COMPUTED_VALUE"""),"VNR Uttam")</f>
        <v>VNR Uttam</v>
      </c>
      <c r="D43" s="39" t="str">
        <f>IFERROR(__xludf.DUMMYFUNCTION("""COMPUTED_VALUE"""),"Grafted")</f>
        <v>Grafted</v>
      </c>
      <c r="E43" s="39" t="str">
        <f>IFERROR(__xludf.DUMMYFUNCTION("""COMPUTED_VALUE"""),"VNR Uttam + BN")</f>
        <v>VNR Uttam + BN</v>
      </c>
      <c r="F43" s="39">
        <f>IFERROR(__xludf.DUMMYFUNCTION("""COMPUTED_VALUE"""),3373.0)</f>
        <v>3373</v>
      </c>
      <c r="G43" s="39">
        <f>IFERROR(__xludf.DUMMYFUNCTION("""COMPUTED_VALUE"""),5024.0)</f>
        <v>5024</v>
      </c>
      <c r="H43" s="39">
        <f>IFERROR(__xludf.DUMMYFUNCTION("""COMPUTED_VALUE"""),2.0)</f>
        <v>2</v>
      </c>
      <c r="I43" s="39">
        <f>IFERROR(__xludf.DUMMYFUNCTION("""COMPUTED_VALUE"""),3.0)</f>
        <v>3</v>
      </c>
      <c r="J43" s="39">
        <f>IFERROR(__xludf.DUMMYFUNCTION("""COMPUTED_VALUE"""),8392.0)</f>
        <v>8392</v>
      </c>
      <c r="K43" s="41">
        <f>IFERROR(__xludf.DUMMYFUNCTION("""COMPUTED_VALUE"""),2498.0)</f>
        <v>2498</v>
      </c>
      <c r="L43" s="41">
        <f>IFERROR(__xludf.DUMMYFUNCTION("""COMPUTED_VALUE"""),500.0)</f>
        <v>500</v>
      </c>
      <c r="M43" s="41">
        <f>IFERROR(__xludf.DUMMYFUNCTION("""COMPUTED_VALUE"""),400.0)</f>
        <v>400</v>
      </c>
      <c r="N43" s="41">
        <f>IFERROR(__xludf.DUMMYFUNCTION("""COMPUTED_VALUE"""),500.0)</f>
        <v>500</v>
      </c>
      <c r="O43" s="42">
        <f>IFERROR(__xludf.DUMMYFUNCTION("""COMPUTED_VALUE"""),90.0)</f>
        <v>90</v>
      </c>
      <c r="P43" s="42">
        <f>IFERROR(__xludf.DUMMYFUNCTION("""COMPUTED_VALUE"""),162.0)</f>
        <v>162</v>
      </c>
      <c r="Q43" s="42">
        <f>IFERROR(__xludf.DUMMYFUNCTION("""COMPUTED_VALUE"""),37.0)</f>
        <v>37</v>
      </c>
      <c r="R43" s="43"/>
      <c r="S43" s="43"/>
      <c r="T43" s="43"/>
      <c r="U43" s="43"/>
      <c r="V43" s="43"/>
      <c r="W43" s="43"/>
      <c r="X43" s="43"/>
    </row>
    <row r="44">
      <c r="A44" s="39">
        <f>IFERROR(__xludf.DUMMYFUNCTION("""COMPUTED_VALUE"""),42.0)</f>
        <v>42</v>
      </c>
      <c r="B44" s="40" t="str">
        <f>IFERROR(__xludf.DUMMYFUNCTION("""COMPUTED_VALUE"""),"Wax Apple")</f>
        <v>Wax Apple</v>
      </c>
      <c r="C44" s="39" t="str">
        <f>IFERROR(__xludf.DUMMYFUNCTION("""COMPUTED_VALUE"""),"VNR-Maroon")</f>
        <v>VNR-Maroon</v>
      </c>
      <c r="D44" s="39" t="str">
        <f>IFERROR(__xludf.DUMMYFUNCTION("""COMPUTED_VALUE"""),"Airlayering")</f>
        <v>Airlayering</v>
      </c>
      <c r="E44" s="39"/>
      <c r="F44" s="39">
        <f>IFERROR(__xludf.DUMMYFUNCTION("""COMPUTED_VALUE"""),575.0)</f>
        <v>575</v>
      </c>
      <c r="G44" s="39">
        <f>IFERROR(__xludf.DUMMYFUNCTION("""COMPUTED_VALUE"""),0.0)</f>
        <v>0</v>
      </c>
      <c r="H44" s="39">
        <f>IFERROR(__xludf.DUMMYFUNCTION("""COMPUTED_VALUE"""),0.0)</f>
        <v>0</v>
      </c>
      <c r="I44" s="39">
        <f>IFERROR(__xludf.DUMMYFUNCTION("""COMPUTED_VALUE"""),6.0)</f>
        <v>6</v>
      </c>
      <c r="J44" s="39">
        <f>IFERROR(__xludf.DUMMYFUNCTION("""COMPUTED_VALUE"""),569.0)</f>
        <v>569</v>
      </c>
      <c r="K44" s="41">
        <f>IFERROR(__xludf.DUMMYFUNCTION("""COMPUTED_VALUE"""),420.0)</f>
        <v>420</v>
      </c>
      <c r="L44" s="41">
        <f>IFERROR(__xludf.DUMMYFUNCTION("""COMPUTED_VALUE"""),110.0)</f>
        <v>110</v>
      </c>
      <c r="M44" s="41">
        <f>IFERROR(__xludf.DUMMYFUNCTION("""COMPUTED_VALUE"""),32.0)</f>
        <v>32</v>
      </c>
      <c r="N44" s="41">
        <f>IFERROR(__xludf.DUMMYFUNCTION("""COMPUTED_VALUE"""),0.0)</f>
        <v>0</v>
      </c>
      <c r="O44" s="42">
        <f>IFERROR(__xludf.DUMMYFUNCTION("""COMPUTED_VALUE"""),0.0)</f>
        <v>0</v>
      </c>
      <c r="P44" s="42">
        <f>IFERROR(__xludf.DUMMYFUNCTION("""COMPUTED_VALUE"""),0.0)</f>
        <v>0</v>
      </c>
      <c r="Q44" s="42">
        <f>IFERROR(__xludf.DUMMYFUNCTION("""COMPUTED_VALUE"""),8.0)</f>
        <v>8</v>
      </c>
      <c r="R44" s="43"/>
      <c r="S44" s="43"/>
      <c r="T44" s="43"/>
      <c r="U44" s="43"/>
      <c r="V44" s="43"/>
      <c r="W44" s="43"/>
      <c r="X44" s="43"/>
    </row>
    <row r="45">
      <c r="A45" s="39">
        <f>IFERROR(__xludf.DUMMYFUNCTION("""COMPUTED_VALUE"""),43.0)</f>
        <v>43</v>
      </c>
      <c r="B45" s="40" t="str">
        <f>IFERROR(__xludf.DUMMYFUNCTION("""COMPUTED_VALUE"""),"Karonda")</f>
        <v>Karonda</v>
      </c>
      <c r="C45" s="39" t="str">
        <f>IFERROR(__xludf.DUMMYFUNCTION("""COMPUTED_VALUE"""),"Konkan Bold")</f>
        <v>Konkan Bold</v>
      </c>
      <c r="D45" s="39" t="str">
        <f>IFERROR(__xludf.DUMMYFUNCTION("""COMPUTED_VALUE"""),"Seedling")</f>
        <v>Seedling</v>
      </c>
      <c r="E45" s="39"/>
      <c r="F45" s="39">
        <f>IFERROR(__xludf.DUMMYFUNCTION("""COMPUTED_VALUE"""),2400.0)</f>
        <v>2400</v>
      </c>
      <c r="G45" s="39">
        <f>IFERROR(__xludf.DUMMYFUNCTION("""COMPUTED_VALUE"""),0.0)</f>
        <v>0</v>
      </c>
      <c r="H45" s="39">
        <f>IFERROR(__xludf.DUMMYFUNCTION("""COMPUTED_VALUE"""),0.0)</f>
        <v>0</v>
      </c>
      <c r="I45" s="39">
        <f>IFERROR(__xludf.DUMMYFUNCTION("""COMPUTED_VALUE"""),0.0)</f>
        <v>0</v>
      </c>
      <c r="J45" s="39">
        <f>IFERROR(__xludf.DUMMYFUNCTION("""COMPUTED_VALUE"""),2400.0)</f>
        <v>2400</v>
      </c>
      <c r="K45" s="41">
        <f>IFERROR(__xludf.DUMMYFUNCTION("""COMPUTED_VALUE"""),0.0)</f>
        <v>0</v>
      </c>
      <c r="L45" s="41">
        <f>IFERROR(__xludf.DUMMYFUNCTION("""COMPUTED_VALUE"""),0.0)</f>
        <v>0</v>
      </c>
      <c r="M45" s="41">
        <f>IFERROR(__xludf.DUMMYFUNCTION("""COMPUTED_VALUE"""),0.0)</f>
        <v>0</v>
      </c>
      <c r="N45" s="41">
        <f>IFERROR(__xludf.DUMMYFUNCTION("""COMPUTED_VALUE"""),0.0)</f>
        <v>0</v>
      </c>
      <c r="O45" s="42">
        <f>IFERROR(__xludf.DUMMYFUNCTION("""COMPUTED_VALUE"""),2350.0)</f>
        <v>2350</v>
      </c>
      <c r="P45" s="42">
        <f>IFERROR(__xludf.DUMMYFUNCTION("""COMPUTED_VALUE"""),50.0)</f>
        <v>50</v>
      </c>
      <c r="Q45" s="42">
        <f>IFERROR(__xludf.DUMMYFUNCTION("""COMPUTED_VALUE"""),0.0)</f>
        <v>0</v>
      </c>
      <c r="R45" s="43"/>
      <c r="S45" s="43"/>
      <c r="T45" s="43"/>
      <c r="U45" s="43"/>
      <c r="V45" s="43"/>
      <c r="W45" s="43"/>
      <c r="X45" s="43"/>
    </row>
    <row r="46">
      <c r="A46" s="39">
        <f>IFERROR(__xludf.DUMMYFUNCTION("""COMPUTED_VALUE"""),44.0)</f>
        <v>44</v>
      </c>
      <c r="B46" s="44"/>
      <c r="C46" s="39"/>
      <c r="D46" s="39"/>
      <c r="E46" s="39"/>
      <c r="F46" s="39"/>
      <c r="G46" s="39"/>
      <c r="H46" s="39"/>
      <c r="I46" s="39"/>
      <c r="J46" s="39"/>
      <c r="K46" s="41"/>
      <c r="L46" s="41"/>
      <c r="M46" s="41"/>
      <c r="N46" s="41"/>
      <c r="O46" s="42"/>
      <c r="P46" s="42"/>
      <c r="Q46" s="42"/>
      <c r="R46" s="43"/>
      <c r="S46" s="43"/>
      <c r="T46" s="43"/>
      <c r="U46" s="43"/>
      <c r="V46" s="43"/>
      <c r="W46" s="43"/>
      <c r="X46" s="43"/>
    </row>
    <row r="47">
      <c r="A47" s="39">
        <f>IFERROR(__xludf.DUMMYFUNCTION("""COMPUTED_VALUE"""),45.0)</f>
        <v>45</v>
      </c>
      <c r="B47" s="44"/>
      <c r="C47" s="39"/>
      <c r="D47" s="39"/>
      <c r="E47" s="39"/>
      <c r="F47" s="39"/>
      <c r="G47" s="39"/>
      <c r="H47" s="39"/>
      <c r="I47" s="39"/>
      <c r="J47" s="39"/>
      <c r="K47" s="41"/>
      <c r="L47" s="41"/>
      <c r="M47" s="41"/>
      <c r="N47" s="41"/>
      <c r="O47" s="42"/>
      <c r="P47" s="42"/>
      <c r="Q47" s="42"/>
      <c r="R47" s="43"/>
      <c r="S47" s="43"/>
      <c r="T47" s="43"/>
      <c r="U47" s="43"/>
      <c r="V47" s="43"/>
      <c r="W47" s="43"/>
      <c r="X47" s="43"/>
    </row>
    <row r="48">
      <c r="A48" s="39">
        <f>IFERROR(__xludf.DUMMYFUNCTION("""COMPUTED_VALUE"""),46.0)</f>
        <v>46</v>
      </c>
      <c r="B48" s="44"/>
      <c r="C48" s="39"/>
      <c r="D48" s="39"/>
      <c r="E48" s="39"/>
      <c r="F48" s="39"/>
      <c r="G48" s="39"/>
      <c r="H48" s="39"/>
      <c r="I48" s="39"/>
      <c r="J48" s="39"/>
      <c r="K48" s="41"/>
      <c r="L48" s="41"/>
      <c r="M48" s="41"/>
      <c r="N48" s="41"/>
      <c r="O48" s="42"/>
      <c r="P48" s="42"/>
      <c r="Q48" s="42"/>
      <c r="R48" s="43"/>
      <c r="S48" s="43"/>
      <c r="T48" s="43"/>
      <c r="U48" s="43"/>
      <c r="V48" s="43"/>
      <c r="W48" s="43"/>
      <c r="X48" s="43"/>
    </row>
    <row r="49">
      <c r="A49" s="39"/>
      <c r="B49" s="44"/>
      <c r="C49" s="39"/>
      <c r="D49" s="39"/>
      <c r="E49" s="39"/>
      <c r="F49" s="39"/>
      <c r="G49" s="39"/>
      <c r="H49" s="39"/>
      <c r="I49" s="39"/>
      <c r="J49" s="39"/>
      <c r="K49" s="41"/>
      <c r="L49" s="41"/>
      <c r="M49" s="41"/>
      <c r="N49" s="41"/>
      <c r="O49" s="42"/>
      <c r="P49" s="42"/>
      <c r="Q49" s="42"/>
      <c r="R49" s="43"/>
      <c r="S49" s="43"/>
      <c r="T49" s="43"/>
      <c r="U49" s="43"/>
      <c r="V49" s="43"/>
      <c r="W49" s="43"/>
      <c r="X49" s="43"/>
    </row>
    <row r="50">
      <c r="A50" s="39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41"/>
      <c r="M50" s="41"/>
      <c r="N50" s="41"/>
      <c r="O50" s="42"/>
      <c r="P50" s="42"/>
      <c r="Q50" s="42"/>
      <c r="R50" s="43"/>
      <c r="S50" s="43"/>
      <c r="T50" s="43"/>
      <c r="U50" s="43"/>
      <c r="V50" s="43"/>
      <c r="W50" s="43"/>
      <c r="X50" s="43"/>
    </row>
    <row r="51">
      <c r="A51" s="39"/>
      <c r="B51" s="44"/>
      <c r="C51" s="39"/>
      <c r="D51" s="39"/>
      <c r="E51" s="39"/>
      <c r="F51" s="39"/>
      <c r="G51" s="39"/>
      <c r="H51" s="39"/>
      <c r="I51" s="39"/>
      <c r="J51" s="39"/>
      <c r="K51" s="41"/>
      <c r="L51" s="41"/>
      <c r="M51" s="41"/>
      <c r="N51" s="41"/>
      <c r="O51" s="42"/>
      <c r="P51" s="42"/>
      <c r="Q51" s="42"/>
      <c r="R51" s="43"/>
      <c r="S51" s="43"/>
      <c r="T51" s="43"/>
      <c r="U51" s="43"/>
      <c r="V51" s="43"/>
      <c r="W51" s="43"/>
      <c r="X51" s="43"/>
    </row>
    <row r="52">
      <c r="A52" s="39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41"/>
      <c r="M52" s="41"/>
      <c r="N52" s="41"/>
      <c r="O52" s="42"/>
      <c r="P52" s="42"/>
      <c r="Q52" s="42"/>
      <c r="R52" s="43"/>
      <c r="S52" s="43"/>
      <c r="T52" s="43"/>
      <c r="U52" s="43"/>
      <c r="V52" s="43"/>
      <c r="W52" s="43"/>
      <c r="X52" s="43"/>
    </row>
    <row r="53">
      <c r="A53" s="39"/>
      <c r="B53" s="44"/>
      <c r="C53" s="39"/>
      <c r="D53" s="39"/>
      <c r="E53" s="39"/>
      <c r="F53" s="39"/>
      <c r="G53" s="39"/>
      <c r="H53" s="39"/>
      <c r="I53" s="39"/>
      <c r="J53" s="39"/>
      <c r="K53" s="41"/>
      <c r="L53" s="41"/>
      <c r="M53" s="41"/>
      <c r="N53" s="41"/>
      <c r="O53" s="42"/>
      <c r="P53" s="42"/>
      <c r="Q53" s="42"/>
      <c r="R53" s="43"/>
      <c r="S53" s="43"/>
      <c r="T53" s="43"/>
      <c r="U53" s="43"/>
      <c r="V53" s="43"/>
      <c r="W53" s="43"/>
      <c r="X53" s="43"/>
    </row>
    <row r="54">
      <c r="A54" s="39"/>
      <c r="B54" s="44"/>
      <c r="C54" s="39"/>
      <c r="D54" s="39"/>
      <c r="E54" s="39"/>
      <c r="F54" s="39"/>
      <c r="G54" s="39"/>
      <c r="H54" s="39"/>
      <c r="I54" s="39"/>
      <c r="J54" s="39"/>
      <c r="K54" s="41"/>
      <c r="L54" s="41"/>
      <c r="M54" s="41"/>
      <c r="N54" s="41"/>
      <c r="O54" s="42"/>
      <c r="P54" s="42"/>
      <c r="Q54" s="42"/>
      <c r="R54" s="43"/>
      <c r="S54" s="43"/>
      <c r="T54" s="43"/>
      <c r="U54" s="43"/>
      <c r="V54" s="43"/>
      <c r="W54" s="43"/>
      <c r="X54" s="43"/>
    </row>
    <row r="55">
      <c r="A55" s="39"/>
      <c r="B55" s="44"/>
      <c r="C55" s="39"/>
      <c r="D55" s="39"/>
      <c r="E55" s="39"/>
      <c r="F55" s="39"/>
      <c r="G55" s="39"/>
      <c r="H55" s="39"/>
      <c r="I55" s="39"/>
      <c r="J55" s="39"/>
      <c r="K55" s="41"/>
      <c r="L55" s="41"/>
      <c r="M55" s="41"/>
      <c r="N55" s="41"/>
      <c r="O55" s="42"/>
      <c r="P55" s="42"/>
      <c r="Q55" s="42"/>
      <c r="R55" s="43"/>
      <c r="S55" s="43"/>
      <c r="T55" s="43"/>
      <c r="U55" s="43"/>
      <c r="V55" s="43"/>
      <c r="W55" s="43"/>
      <c r="X55" s="43"/>
    </row>
    <row r="56">
      <c r="A56" s="39"/>
      <c r="B56" s="44"/>
      <c r="C56" s="39"/>
      <c r="D56" s="39"/>
      <c r="E56" s="39"/>
      <c r="F56" s="39"/>
      <c r="G56" s="39"/>
      <c r="H56" s="39"/>
      <c r="I56" s="39"/>
      <c r="J56" s="39"/>
      <c r="K56" s="41"/>
      <c r="L56" s="41"/>
      <c r="M56" s="41"/>
      <c r="N56" s="41"/>
      <c r="O56" s="42"/>
      <c r="P56" s="42"/>
      <c r="Q56" s="42"/>
      <c r="R56" s="43"/>
      <c r="S56" s="43"/>
      <c r="T56" s="43"/>
      <c r="U56" s="43"/>
      <c r="V56" s="43"/>
      <c r="W56" s="43"/>
      <c r="X56" s="43"/>
    </row>
    <row r="57">
      <c r="A57" s="39"/>
      <c r="B57" s="44"/>
      <c r="C57" s="39"/>
      <c r="D57" s="39"/>
      <c r="E57" s="39"/>
      <c r="F57" s="39"/>
      <c r="G57" s="39"/>
      <c r="H57" s="39"/>
      <c r="I57" s="39"/>
      <c r="J57" s="39"/>
      <c r="K57" s="41"/>
      <c r="L57" s="41"/>
      <c r="M57" s="41"/>
      <c r="N57" s="41"/>
      <c r="O57" s="42"/>
      <c r="P57" s="42"/>
      <c r="Q57" s="42"/>
      <c r="R57" s="43"/>
      <c r="S57" s="43"/>
      <c r="T57" s="43"/>
      <c r="U57" s="43"/>
      <c r="V57" s="43"/>
      <c r="W57" s="43"/>
      <c r="X57" s="43"/>
    </row>
    <row r="58">
      <c r="A58" s="39"/>
      <c r="B58" s="44"/>
      <c r="C58" s="39"/>
      <c r="D58" s="39"/>
      <c r="E58" s="39"/>
      <c r="F58" s="39"/>
      <c r="G58" s="39"/>
      <c r="H58" s="39"/>
      <c r="I58" s="39"/>
      <c r="J58" s="39"/>
      <c r="K58" s="41"/>
      <c r="L58" s="41"/>
      <c r="M58" s="41"/>
      <c r="N58" s="41"/>
      <c r="O58" s="42"/>
      <c r="P58" s="42"/>
      <c r="Q58" s="42"/>
      <c r="R58" s="43"/>
      <c r="S58" s="43"/>
      <c r="T58" s="43"/>
      <c r="U58" s="43"/>
      <c r="V58" s="43"/>
      <c r="W58" s="43"/>
      <c r="X58" s="43"/>
    </row>
    <row r="59">
      <c r="A59" s="39"/>
      <c r="B59" s="44"/>
      <c r="C59" s="39"/>
      <c r="D59" s="39"/>
      <c r="E59" s="39"/>
      <c r="F59" s="39"/>
      <c r="G59" s="39"/>
      <c r="H59" s="39"/>
      <c r="I59" s="39"/>
      <c r="J59" s="39"/>
      <c r="K59" s="41"/>
      <c r="L59" s="41"/>
      <c r="M59" s="41"/>
      <c r="N59" s="41"/>
      <c r="O59" s="42"/>
      <c r="P59" s="42"/>
      <c r="Q59" s="42"/>
      <c r="R59" s="43"/>
      <c r="S59" s="43"/>
      <c r="T59" s="43"/>
      <c r="U59" s="43"/>
      <c r="V59" s="43"/>
      <c r="W59" s="43"/>
      <c r="X59" s="43"/>
    </row>
    <row r="60">
      <c r="A60" s="39"/>
      <c r="B60" s="44"/>
      <c r="C60" s="39"/>
      <c r="D60" s="39"/>
      <c r="E60" s="39"/>
      <c r="F60" s="39"/>
      <c r="G60" s="39"/>
      <c r="H60" s="39"/>
      <c r="I60" s="39"/>
      <c r="J60" s="39"/>
      <c r="K60" s="41"/>
      <c r="L60" s="41"/>
      <c r="M60" s="41"/>
      <c r="N60" s="41"/>
      <c r="O60" s="42"/>
      <c r="P60" s="42"/>
      <c r="Q60" s="42"/>
      <c r="R60" s="43"/>
      <c r="S60" s="43"/>
      <c r="T60" s="43"/>
      <c r="U60" s="43"/>
      <c r="V60" s="43"/>
      <c r="W60" s="43"/>
      <c r="X60" s="43"/>
    </row>
    <row r="61">
      <c r="A61" s="39"/>
      <c r="B61" s="44"/>
      <c r="C61" s="39"/>
      <c r="D61" s="39"/>
      <c r="E61" s="39"/>
      <c r="F61" s="39"/>
      <c r="G61" s="39"/>
      <c r="H61" s="39"/>
      <c r="I61" s="39"/>
      <c r="J61" s="39"/>
      <c r="K61" s="41"/>
      <c r="L61" s="41"/>
      <c r="M61" s="41"/>
      <c r="N61" s="41"/>
      <c r="O61" s="42"/>
      <c r="P61" s="42"/>
      <c r="Q61" s="42"/>
      <c r="R61" s="43"/>
      <c r="S61" s="43"/>
      <c r="T61" s="43"/>
      <c r="U61" s="43"/>
      <c r="V61" s="43"/>
      <c r="W61" s="43"/>
      <c r="X61" s="43"/>
    </row>
    <row r="62">
      <c r="A62" s="39"/>
      <c r="B62" s="44"/>
      <c r="C62" s="39"/>
      <c r="D62" s="39"/>
      <c r="E62" s="39"/>
      <c r="F62" s="39"/>
      <c r="G62" s="39"/>
      <c r="H62" s="39"/>
      <c r="I62" s="39"/>
      <c r="J62" s="39"/>
      <c r="K62" s="41"/>
      <c r="L62" s="41"/>
      <c r="M62" s="41"/>
      <c r="N62" s="41"/>
      <c r="O62" s="42"/>
      <c r="P62" s="42"/>
      <c r="Q62" s="42"/>
      <c r="R62" s="43"/>
      <c r="S62" s="43"/>
      <c r="T62" s="43"/>
      <c r="U62" s="43"/>
      <c r="V62" s="43"/>
      <c r="W62" s="43"/>
      <c r="X62" s="43"/>
    </row>
    <row r="63">
      <c r="A63" s="39"/>
      <c r="B63" s="44"/>
      <c r="C63" s="39"/>
      <c r="D63" s="39"/>
      <c r="E63" s="39"/>
      <c r="F63" s="39"/>
      <c r="G63" s="39"/>
      <c r="H63" s="39"/>
      <c r="I63" s="39"/>
      <c r="J63" s="39"/>
      <c r="K63" s="41"/>
      <c r="L63" s="41"/>
      <c r="M63" s="41"/>
      <c r="N63" s="41"/>
      <c r="O63" s="42"/>
      <c r="P63" s="42"/>
      <c r="Q63" s="42"/>
      <c r="R63" s="43"/>
      <c r="S63" s="43"/>
      <c r="T63" s="43"/>
      <c r="U63" s="43"/>
      <c r="V63" s="43"/>
      <c r="W63" s="43"/>
      <c r="X63" s="43"/>
    </row>
    <row r="64">
      <c r="A64" s="39"/>
      <c r="B64" s="44"/>
      <c r="C64" s="39"/>
      <c r="D64" s="39"/>
      <c r="E64" s="39"/>
      <c r="F64" s="39"/>
      <c r="G64" s="39"/>
      <c r="H64" s="39"/>
      <c r="I64" s="39"/>
      <c r="J64" s="39"/>
      <c r="K64" s="41"/>
      <c r="L64" s="41"/>
      <c r="M64" s="41"/>
      <c r="N64" s="41"/>
      <c r="O64" s="42"/>
      <c r="P64" s="42"/>
      <c r="Q64" s="42"/>
      <c r="R64" s="43"/>
      <c r="S64" s="43"/>
      <c r="T64" s="43"/>
      <c r="U64" s="43"/>
      <c r="V64" s="43"/>
      <c r="W64" s="43"/>
      <c r="X64" s="43"/>
    </row>
    <row r="65">
      <c r="A65" s="39"/>
      <c r="B65" s="44"/>
      <c r="C65" s="39"/>
      <c r="D65" s="39"/>
      <c r="E65" s="39"/>
      <c r="F65" s="39"/>
      <c r="G65" s="39"/>
      <c r="H65" s="39"/>
      <c r="I65" s="39"/>
      <c r="J65" s="39"/>
      <c r="K65" s="41"/>
      <c r="L65" s="41"/>
      <c r="M65" s="41"/>
      <c r="N65" s="41"/>
      <c r="O65" s="42"/>
      <c r="P65" s="42"/>
      <c r="Q65" s="42"/>
      <c r="R65" s="43"/>
      <c r="S65" s="43"/>
      <c r="T65" s="43"/>
      <c r="U65" s="43"/>
      <c r="V65" s="43"/>
      <c r="W65" s="43"/>
      <c r="X65" s="43"/>
    </row>
    <row r="66">
      <c r="A66" s="39"/>
      <c r="B66" s="44"/>
      <c r="C66" s="39"/>
      <c r="D66" s="39"/>
      <c r="E66" s="39"/>
      <c r="F66" s="39"/>
      <c r="G66" s="39"/>
      <c r="H66" s="39"/>
      <c r="I66" s="39"/>
      <c r="J66" s="39"/>
      <c r="K66" s="41"/>
      <c r="L66" s="41"/>
      <c r="M66" s="41"/>
      <c r="N66" s="41"/>
      <c r="O66" s="42"/>
      <c r="P66" s="42"/>
      <c r="Q66" s="42"/>
      <c r="R66" s="43"/>
      <c r="S66" s="43"/>
      <c r="T66" s="43"/>
      <c r="U66" s="43"/>
      <c r="V66" s="43"/>
      <c r="W66" s="43"/>
      <c r="X66" s="43"/>
    </row>
    <row r="67">
      <c r="A67" s="39"/>
      <c r="B67" s="44"/>
      <c r="C67" s="39"/>
      <c r="D67" s="39"/>
      <c r="E67" s="39"/>
      <c r="F67" s="39"/>
      <c r="G67" s="39"/>
      <c r="H67" s="39"/>
      <c r="I67" s="39"/>
      <c r="J67" s="39"/>
      <c r="K67" s="41"/>
      <c r="L67" s="41"/>
      <c r="M67" s="41"/>
      <c r="N67" s="41"/>
      <c r="O67" s="42"/>
      <c r="P67" s="42"/>
      <c r="Q67" s="42"/>
      <c r="R67" s="43"/>
      <c r="S67" s="43"/>
      <c r="T67" s="43"/>
      <c r="U67" s="43"/>
      <c r="V67" s="43"/>
      <c r="W67" s="43"/>
      <c r="X67" s="43"/>
    </row>
    <row r="68">
      <c r="A68" s="39"/>
      <c r="B68" s="44"/>
      <c r="C68" s="39"/>
      <c r="D68" s="39"/>
      <c r="E68" s="39"/>
      <c r="F68" s="39"/>
      <c r="G68" s="39"/>
      <c r="H68" s="39"/>
      <c r="I68" s="39"/>
      <c r="J68" s="39"/>
      <c r="K68" s="41"/>
      <c r="L68" s="41"/>
      <c r="M68" s="41"/>
      <c r="N68" s="41"/>
      <c r="O68" s="42"/>
      <c r="P68" s="42"/>
      <c r="Q68" s="42"/>
      <c r="R68" s="43"/>
      <c r="S68" s="43"/>
      <c r="T68" s="43"/>
      <c r="U68" s="43"/>
      <c r="V68" s="43"/>
      <c r="W68" s="43"/>
      <c r="X68" s="43"/>
    </row>
    <row r="69">
      <c r="A69" s="39"/>
      <c r="B69" s="44"/>
      <c r="C69" s="39"/>
      <c r="D69" s="39"/>
      <c r="E69" s="39"/>
      <c r="F69" s="39"/>
      <c r="G69" s="39"/>
      <c r="H69" s="39"/>
      <c r="I69" s="39"/>
      <c r="J69" s="39"/>
      <c r="K69" s="41"/>
      <c r="L69" s="41"/>
      <c r="M69" s="41"/>
      <c r="N69" s="41"/>
      <c r="O69" s="42"/>
      <c r="P69" s="42"/>
      <c r="Q69" s="42"/>
      <c r="R69" s="43"/>
      <c r="S69" s="43"/>
      <c r="T69" s="43"/>
      <c r="U69" s="43"/>
      <c r="V69" s="43"/>
      <c r="W69" s="43"/>
      <c r="X69" s="43"/>
    </row>
    <row r="70">
      <c r="A70" s="39"/>
      <c r="B70" s="44"/>
      <c r="C70" s="39"/>
      <c r="D70" s="39"/>
      <c r="E70" s="39"/>
      <c r="F70" s="39"/>
      <c r="G70" s="39"/>
      <c r="H70" s="39"/>
      <c r="I70" s="39"/>
      <c r="J70" s="39"/>
      <c r="K70" s="41"/>
      <c r="L70" s="41"/>
      <c r="M70" s="41"/>
      <c r="N70" s="41"/>
      <c r="O70" s="42"/>
      <c r="P70" s="42"/>
      <c r="Q70" s="42"/>
      <c r="R70" s="43"/>
      <c r="S70" s="43"/>
      <c r="T70" s="43"/>
      <c r="U70" s="43"/>
      <c r="V70" s="43"/>
      <c r="W70" s="43"/>
      <c r="X70" s="43"/>
    </row>
    <row r="71">
      <c r="A71" s="39"/>
      <c r="B71" s="44"/>
      <c r="C71" s="39"/>
      <c r="D71" s="39"/>
      <c r="E71" s="39"/>
      <c r="F71" s="39"/>
      <c r="G71" s="39"/>
      <c r="H71" s="39"/>
      <c r="I71" s="39"/>
      <c r="J71" s="39"/>
      <c r="K71" s="41"/>
      <c r="L71" s="41"/>
      <c r="M71" s="41"/>
      <c r="N71" s="41"/>
      <c r="O71" s="42"/>
      <c r="P71" s="42"/>
      <c r="Q71" s="42"/>
      <c r="R71" s="43"/>
      <c r="S71" s="43"/>
      <c r="T71" s="43"/>
      <c r="U71" s="43"/>
      <c r="V71" s="43"/>
      <c r="W71" s="43"/>
      <c r="X71" s="43"/>
    </row>
    <row r="72">
      <c r="A72" s="39"/>
      <c r="B72" s="44"/>
      <c r="C72" s="39"/>
      <c r="D72" s="39"/>
      <c r="E72" s="39"/>
      <c r="F72" s="39"/>
      <c r="G72" s="39"/>
      <c r="H72" s="39"/>
      <c r="I72" s="39"/>
      <c r="J72" s="39"/>
      <c r="K72" s="41"/>
      <c r="L72" s="41"/>
      <c r="M72" s="41"/>
      <c r="N72" s="41"/>
      <c r="O72" s="42"/>
      <c r="P72" s="42"/>
      <c r="Q72" s="42"/>
      <c r="R72" s="43"/>
      <c r="S72" s="43"/>
      <c r="T72" s="43"/>
      <c r="U72" s="43"/>
      <c r="V72" s="43"/>
      <c r="W72" s="43"/>
      <c r="X72" s="43"/>
    </row>
    <row r="73">
      <c r="A73" s="39"/>
      <c r="B73" s="44"/>
      <c r="C73" s="39"/>
      <c r="D73" s="39"/>
      <c r="E73" s="39"/>
      <c r="F73" s="39"/>
      <c r="G73" s="39"/>
      <c r="H73" s="39"/>
      <c r="I73" s="39"/>
      <c r="J73" s="39"/>
      <c r="K73" s="41"/>
      <c r="L73" s="41"/>
      <c r="M73" s="41"/>
      <c r="N73" s="41"/>
      <c r="O73" s="42"/>
      <c r="P73" s="42"/>
      <c r="Q73" s="42"/>
      <c r="R73" s="43"/>
      <c r="S73" s="43"/>
      <c r="T73" s="43"/>
      <c r="U73" s="43"/>
      <c r="V73" s="43"/>
      <c r="W73" s="43"/>
      <c r="X73" s="43"/>
    </row>
    <row r="74">
      <c r="A74" s="39"/>
      <c r="B74" s="44"/>
      <c r="C74" s="39"/>
      <c r="D74" s="39"/>
      <c r="E74" s="39"/>
      <c r="F74" s="39"/>
      <c r="G74" s="39"/>
      <c r="H74" s="39"/>
      <c r="I74" s="39"/>
      <c r="J74" s="39"/>
      <c r="K74" s="41"/>
      <c r="L74" s="41"/>
      <c r="M74" s="41"/>
      <c r="N74" s="41"/>
      <c r="O74" s="42"/>
      <c r="P74" s="42"/>
      <c r="Q74" s="42"/>
      <c r="R74" s="43"/>
      <c r="S74" s="43"/>
      <c r="T74" s="43"/>
      <c r="U74" s="43"/>
      <c r="V74" s="43"/>
      <c r="W74" s="43"/>
      <c r="X74" s="43"/>
    </row>
    <row r="75">
      <c r="A75" s="39"/>
      <c r="B75" s="44"/>
      <c r="C75" s="39"/>
      <c r="D75" s="39"/>
      <c r="E75" s="39"/>
      <c r="F75" s="39"/>
      <c r="G75" s="39"/>
      <c r="H75" s="39"/>
      <c r="I75" s="39"/>
      <c r="J75" s="39"/>
      <c r="K75" s="41"/>
      <c r="L75" s="41"/>
      <c r="M75" s="41"/>
      <c r="N75" s="41"/>
      <c r="O75" s="42"/>
      <c r="P75" s="42"/>
      <c r="Q75" s="42"/>
      <c r="R75" s="43"/>
      <c r="S75" s="43"/>
      <c r="T75" s="43"/>
      <c r="U75" s="43"/>
      <c r="V75" s="43"/>
      <c r="W75" s="43"/>
      <c r="X75" s="43"/>
    </row>
    <row r="76">
      <c r="A76" s="39"/>
      <c r="B76" s="44"/>
      <c r="C76" s="39"/>
      <c r="D76" s="39"/>
      <c r="E76" s="39"/>
      <c r="F76" s="39"/>
      <c r="G76" s="39"/>
      <c r="H76" s="39"/>
      <c r="I76" s="39"/>
      <c r="J76" s="39"/>
      <c r="K76" s="41"/>
      <c r="L76" s="41"/>
      <c r="M76" s="41"/>
      <c r="N76" s="41"/>
      <c r="O76" s="42"/>
      <c r="P76" s="42"/>
      <c r="Q76" s="42"/>
      <c r="R76" s="43"/>
      <c r="S76" s="43"/>
      <c r="T76" s="43"/>
      <c r="U76" s="43"/>
      <c r="V76" s="43"/>
      <c r="W76" s="43"/>
      <c r="X76" s="43"/>
    </row>
    <row r="77">
      <c r="A77" s="39"/>
      <c r="B77" s="44"/>
      <c r="C77" s="39"/>
      <c r="D77" s="39"/>
      <c r="E77" s="39"/>
      <c r="F77" s="39"/>
      <c r="G77" s="39"/>
      <c r="H77" s="39"/>
      <c r="I77" s="39"/>
      <c r="J77" s="39"/>
      <c r="K77" s="41"/>
      <c r="L77" s="41"/>
      <c r="M77" s="41"/>
      <c r="N77" s="41"/>
      <c r="O77" s="42"/>
      <c r="P77" s="42"/>
      <c r="Q77" s="42"/>
      <c r="R77" s="43"/>
      <c r="S77" s="43"/>
      <c r="T77" s="43"/>
      <c r="U77" s="43"/>
      <c r="V77" s="43"/>
      <c r="W77" s="43"/>
      <c r="X77" s="43"/>
    </row>
    <row r="78">
      <c r="A78" s="39"/>
      <c r="B78" s="44"/>
      <c r="C78" s="39"/>
      <c r="D78" s="39"/>
      <c r="E78" s="39"/>
      <c r="F78" s="39"/>
      <c r="G78" s="39"/>
      <c r="H78" s="39"/>
      <c r="I78" s="39"/>
      <c r="J78" s="39"/>
      <c r="K78" s="41"/>
      <c r="L78" s="41"/>
      <c r="M78" s="41"/>
      <c r="N78" s="41"/>
      <c r="O78" s="42"/>
      <c r="P78" s="42"/>
      <c r="Q78" s="42"/>
      <c r="R78" s="43"/>
      <c r="S78" s="43"/>
      <c r="T78" s="43"/>
      <c r="U78" s="43"/>
      <c r="V78" s="43"/>
      <c r="W78" s="43"/>
      <c r="X78" s="43"/>
    </row>
    <row r="79">
      <c r="A79" s="39"/>
      <c r="B79" s="44"/>
      <c r="C79" s="39"/>
      <c r="D79" s="39"/>
      <c r="E79" s="39"/>
      <c r="F79" s="39"/>
      <c r="G79" s="39"/>
      <c r="H79" s="39"/>
      <c r="I79" s="39"/>
      <c r="J79" s="39"/>
      <c r="K79" s="41"/>
      <c r="L79" s="41"/>
      <c r="M79" s="41"/>
      <c r="N79" s="41"/>
      <c r="O79" s="42"/>
      <c r="P79" s="42"/>
      <c r="Q79" s="42"/>
      <c r="R79" s="43"/>
      <c r="S79" s="43"/>
      <c r="T79" s="43"/>
      <c r="U79" s="43"/>
      <c r="V79" s="43"/>
      <c r="W79" s="43"/>
      <c r="X79" s="43"/>
    </row>
    <row r="80">
      <c r="A80" s="39"/>
      <c r="B80" s="44"/>
      <c r="C80" s="39"/>
      <c r="D80" s="39"/>
      <c r="E80" s="39"/>
      <c r="F80" s="39"/>
      <c r="G80" s="39"/>
      <c r="H80" s="39"/>
      <c r="I80" s="39"/>
      <c r="J80" s="39"/>
      <c r="K80" s="41"/>
      <c r="L80" s="41"/>
      <c r="M80" s="41"/>
      <c r="N80" s="41"/>
      <c r="O80" s="42"/>
      <c r="P80" s="42"/>
      <c r="Q80" s="42"/>
      <c r="R80" s="43"/>
      <c r="S80" s="43"/>
      <c r="T80" s="43"/>
      <c r="U80" s="43"/>
      <c r="V80" s="43"/>
      <c r="W80" s="43"/>
      <c r="X80" s="43"/>
    </row>
    <row r="81">
      <c r="A81" s="39"/>
      <c r="B81" s="44"/>
      <c r="C81" s="39"/>
      <c r="D81" s="39"/>
      <c r="E81" s="39"/>
      <c r="F81" s="39"/>
      <c r="G81" s="39"/>
      <c r="H81" s="39"/>
      <c r="I81" s="39"/>
      <c r="J81" s="39"/>
      <c r="K81" s="41"/>
      <c r="L81" s="41"/>
      <c r="M81" s="41"/>
      <c r="N81" s="41"/>
      <c r="O81" s="42"/>
      <c r="P81" s="42"/>
      <c r="Q81" s="42"/>
      <c r="R81" s="43"/>
      <c r="S81" s="43"/>
      <c r="T81" s="43"/>
      <c r="U81" s="43"/>
      <c r="V81" s="43"/>
      <c r="W81" s="43"/>
      <c r="X81" s="43"/>
    </row>
    <row r="82">
      <c r="A82" s="39"/>
      <c r="B82" s="44"/>
      <c r="C82" s="39"/>
      <c r="D82" s="39"/>
      <c r="E82" s="39"/>
      <c r="F82" s="39"/>
      <c r="G82" s="39"/>
      <c r="H82" s="39"/>
      <c r="I82" s="39"/>
      <c r="J82" s="39"/>
      <c r="K82" s="41"/>
      <c r="L82" s="41"/>
      <c r="M82" s="41"/>
      <c r="N82" s="41"/>
      <c r="O82" s="42"/>
      <c r="P82" s="42"/>
      <c r="Q82" s="42"/>
      <c r="R82" s="43"/>
      <c r="S82" s="43"/>
      <c r="T82" s="43"/>
      <c r="U82" s="43"/>
      <c r="V82" s="43"/>
      <c r="W82" s="43"/>
      <c r="X82" s="43"/>
    </row>
    <row r="83">
      <c r="A83" s="43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>
      <c r="A84" s="43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>
      <c r="A85" s="43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>
      <c r="A86" s="43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>
      <c r="A87" s="43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>
      <c r="A88" s="43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>
      <c r="A89" s="43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>
      <c r="A90" s="43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>
      <c r="A91" s="43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>
      <c r="A92" s="43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>
      <c r="A93" s="43"/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>
      <c r="A94" s="43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>
      <c r="A95" s="43"/>
      <c r="B95" s="45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>
      <c r="A96" s="43"/>
      <c r="B96" s="45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>
      <c r="A97" s="43"/>
      <c r="B97" s="45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>
      <c r="A98" s="43"/>
      <c r="B98" s="4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>
      <c r="A99" s="43"/>
      <c r="B99" s="45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>
      <c r="A100" s="43"/>
      <c r="B100" s="45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>
      <c r="A101" s="43"/>
      <c r="B101" s="4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>
      <c r="A102" s="43"/>
      <c r="B102" s="45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>
      <c r="A103" s="43"/>
      <c r="B103" s="45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>
      <c r="A104" s="43"/>
      <c r="B104" s="45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>
      <c r="A105" s="43"/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>
      <c r="A106" s="43"/>
      <c r="B106" s="45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>
      <c r="A107" s="43"/>
      <c r="B107" s="45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>
      <c r="A108" s="43"/>
      <c r="B108" s="45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>
      <c r="A109" s="43"/>
      <c r="B109" s="45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>
      <c r="A110" s="43"/>
      <c r="B110" s="45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>
      <c r="A111" s="43"/>
      <c r="B111" s="45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>
      <c r="A112" s="43"/>
      <c r="B112" s="4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>
      <c r="A113" s="43"/>
      <c r="B113" s="45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>
      <c r="A114" s="43"/>
      <c r="B114" s="45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>
      <c r="A115" s="43"/>
      <c r="B115" s="45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>
      <c r="A116" s="43"/>
      <c r="B116" s="45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>
      <c r="A117" s="43"/>
      <c r="B117" s="45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>
      <c r="A118" s="43"/>
      <c r="B118" s="45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>
      <c r="A119" s="43"/>
      <c r="B119" s="45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>
      <c r="A120" s="43"/>
      <c r="B120" s="45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>
      <c r="A121" s="43"/>
      <c r="B121" s="45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>
      <c r="A122" s="43"/>
      <c r="B122" s="4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>
      <c r="A123" s="43"/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>
      <c r="A124" s="43"/>
      <c r="B124" s="45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>
      <c r="A125" s="43"/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>
      <c r="A126" s="43"/>
      <c r="B126" s="45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>
      <c r="A127" s="43"/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>
      <c r="A128" s="43"/>
      <c r="B128" s="45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>
      <c r="A129" s="43"/>
      <c r="B129" s="45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>
      <c r="A130" s="43"/>
      <c r="B130" s="45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>
      <c r="A131" s="43"/>
      <c r="B131" s="45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>
      <c r="A132" s="43"/>
      <c r="B132" s="45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>
      <c r="A133" s="43"/>
      <c r="B133" s="45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>
      <c r="A134" s="43"/>
      <c r="B134" s="45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>
      <c r="A135" s="43"/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>
      <c r="A136" s="43"/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>
      <c r="A137" s="43"/>
      <c r="B137" s="45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>
      <c r="A138" s="43"/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>
      <c r="A139" s="43"/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>
      <c r="A140" s="43"/>
      <c r="B140" s="45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>
      <c r="A141" s="43"/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>
      <c r="A142" s="43"/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>
      <c r="A143" s="43"/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>
      <c r="A144" s="43"/>
      <c r="B144" s="45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>
      <c r="A145" s="43"/>
      <c r="B145" s="45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>
      <c r="A146" s="43"/>
      <c r="B146" s="45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>
      <c r="A147" s="43"/>
      <c r="B147" s="45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>
      <c r="A148" s="43"/>
      <c r="B148" s="4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>
      <c r="A149" s="43"/>
      <c r="B149" s="45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>
      <c r="A150" s="43"/>
      <c r="B150" s="45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>
      <c r="A151" s="43"/>
      <c r="B151" s="45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>
      <c r="A152" s="43"/>
      <c r="B152" s="45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>
      <c r="A153" s="43"/>
      <c r="B153" s="45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>
      <c r="A154" s="43"/>
      <c r="B154" s="45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>
      <c r="A155" s="43"/>
      <c r="B155" s="45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>
      <c r="A156" s="43"/>
      <c r="B156" s="4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>
      <c r="A157" s="43"/>
      <c r="B157" s="45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>
      <c r="A158" s="43"/>
      <c r="B158" s="45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>
      <c r="A159" s="43"/>
      <c r="B159" s="45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>
      <c r="A160" s="43"/>
      <c r="B160" s="45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>
      <c r="A161" s="43"/>
      <c r="B161" s="4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>
      <c r="A162" s="43"/>
      <c r="B162" s="45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>
      <c r="A163" s="43"/>
      <c r="B163" s="45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>
      <c r="A164" s="43"/>
      <c r="B164" s="45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>
      <c r="A165" s="43"/>
      <c r="B165" s="45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>
      <c r="A166" s="43"/>
      <c r="B166" s="45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>
      <c r="A167" s="43"/>
      <c r="B167" s="45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>
      <c r="A168" s="43"/>
      <c r="B168" s="45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>
      <c r="A169" s="43"/>
      <c r="B169" s="45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>
      <c r="A170" s="43"/>
      <c r="B170" s="45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>
      <c r="A171" s="43"/>
      <c r="B171" s="45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>
      <c r="A172" s="43"/>
      <c r="B172" s="45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>
      <c r="A173" s="43"/>
      <c r="B173" s="45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>
      <c r="A174" s="43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>
      <c r="A175" s="43"/>
      <c r="B175" s="45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>
      <c r="A176" s="43"/>
      <c r="B176" s="45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>
      <c r="A177" s="43"/>
      <c r="B177" s="45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>
      <c r="A178" s="43"/>
      <c r="B178" s="45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>
      <c r="A179" s="43"/>
      <c r="B179" s="45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>
      <c r="A180" s="43"/>
      <c r="B180" s="45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>
      <c r="A181" s="43"/>
      <c r="B181" s="45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>
      <c r="A182" s="43"/>
      <c r="B182" s="45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>
      <c r="A183" s="43"/>
      <c r="B183" s="45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>
      <c r="A184" s="43"/>
      <c r="B184" s="45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>
      <c r="A185" s="43"/>
      <c r="B185" s="45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>
      <c r="A186" s="43"/>
      <c r="B186" s="45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>
      <c r="A187" s="43"/>
      <c r="B187" s="45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>
      <c r="A188" s="43"/>
      <c r="B188" s="45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>
      <c r="A189" s="43"/>
      <c r="B189" s="45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>
      <c r="A190" s="43"/>
      <c r="B190" s="45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>
      <c r="A191" s="43"/>
      <c r="B191" s="45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>
      <c r="A192" s="43"/>
      <c r="B192" s="45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>
      <c r="A193" s="43"/>
      <c r="B193" s="45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>
      <c r="A194" s="43"/>
      <c r="B194" s="45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>
      <c r="A195" s="43"/>
      <c r="B195" s="45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>
      <c r="A196" s="43"/>
      <c r="B196" s="45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>
      <c r="A197" s="43"/>
      <c r="B197" s="45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>
      <c r="A198" s="43"/>
      <c r="B198" s="45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>
      <c r="A199" s="43"/>
      <c r="B199" s="45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>
      <c r="A200" s="43"/>
      <c r="B200" s="45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>
      <c r="A201" s="43"/>
      <c r="B201" s="45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>
      <c r="A202" s="43"/>
      <c r="B202" s="45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>
      <c r="A203" s="43"/>
      <c r="B203" s="45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>
      <c r="A204" s="43"/>
      <c r="B204" s="45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>
      <c r="A205" s="43"/>
      <c r="B205" s="45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>
      <c r="A206" s="43"/>
      <c r="B206" s="45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>
      <c r="A207" s="43"/>
      <c r="B207" s="45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>
      <c r="A208" s="43"/>
      <c r="B208" s="45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>
      <c r="A209" s="43"/>
      <c r="B209" s="45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>
      <c r="A210" s="43"/>
      <c r="B210" s="45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>
      <c r="A211" s="43"/>
      <c r="B211" s="45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>
      <c r="A212" s="43"/>
      <c r="B212" s="45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>
      <c r="A213" s="43"/>
      <c r="B213" s="45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>
      <c r="A214" s="43"/>
      <c r="B214" s="45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>
      <c r="A215" s="43"/>
      <c r="B215" s="45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>
      <c r="A216" s="43"/>
      <c r="B216" s="45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>
      <c r="A217" s="43"/>
      <c r="B217" s="45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>
      <c r="A218" s="43"/>
      <c r="B218" s="45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>
      <c r="A219" s="43"/>
      <c r="B219" s="45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>
      <c r="A220" s="43"/>
      <c r="B220" s="45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>
      <c r="A221" s="43"/>
      <c r="B221" s="45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>
      <c r="A222" s="43"/>
      <c r="B222" s="45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>
      <c r="A223" s="43"/>
      <c r="B223" s="45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>
      <c r="A224" s="43"/>
      <c r="B224" s="45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>
      <c r="A225" s="43"/>
      <c r="B225" s="45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>
      <c r="A226" s="43"/>
      <c r="B226" s="45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>
      <c r="A227" s="43"/>
      <c r="B227" s="45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>
      <c r="A228" s="43"/>
      <c r="B228" s="45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>
      <c r="A229" s="43"/>
      <c r="B229" s="45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>
      <c r="A230" s="43"/>
      <c r="B230" s="45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>
      <c r="A231" s="43"/>
      <c r="B231" s="45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>
      <c r="A232" s="43"/>
      <c r="B232" s="45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>
      <c r="A233" s="43"/>
      <c r="B233" s="45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>
      <c r="A234" s="43"/>
      <c r="B234" s="45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>
      <c r="A235" s="43"/>
      <c r="B235" s="45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>
      <c r="A236" s="43"/>
      <c r="B236" s="45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>
      <c r="A237" s="43"/>
      <c r="B237" s="45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>
      <c r="A238" s="43"/>
      <c r="B238" s="45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>
      <c r="A239" s="43"/>
      <c r="B239" s="45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>
      <c r="A240" s="43"/>
      <c r="B240" s="45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>
      <c r="A241" s="43"/>
      <c r="B241" s="45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>
      <c r="A242" s="43"/>
      <c r="B242" s="45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>
      <c r="A243" s="43"/>
      <c r="B243" s="45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>
      <c r="A244" s="43"/>
      <c r="B244" s="45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>
      <c r="A245" s="43"/>
      <c r="B245" s="45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>
      <c r="A246" s="43"/>
      <c r="B246" s="45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>
      <c r="A247" s="43"/>
      <c r="B247" s="45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>
      <c r="A248" s="43"/>
      <c r="B248" s="45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>
      <c r="A249" s="43"/>
      <c r="B249" s="45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>
      <c r="A250" s="43"/>
      <c r="B250" s="45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>
      <c r="A251" s="43"/>
      <c r="B251" s="45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>
      <c r="A252" s="43"/>
      <c r="B252" s="45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>
      <c r="A253" s="43"/>
      <c r="B253" s="45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>
      <c r="A254" s="43"/>
      <c r="B254" s="45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>
      <c r="A255" s="43"/>
      <c r="B255" s="45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>
      <c r="A256" s="43"/>
      <c r="B256" s="45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>
      <c r="A257" s="43"/>
      <c r="B257" s="45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>
      <c r="A258" s="43"/>
      <c r="B258" s="45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>
      <c r="A259" s="43"/>
      <c r="B259" s="45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>
      <c r="A260" s="43"/>
      <c r="B260" s="45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>
      <c r="A261" s="43"/>
      <c r="B261" s="45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>
      <c r="A262" s="43"/>
      <c r="B262" s="45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>
      <c r="A263" s="43"/>
      <c r="B263" s="45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>
      <c r="A264" s="43"/>
      <c r="B264" s="45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>
      <c r="A265" s="43"/>
      <c r="B265" s="45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>
      <c r="A266" s="43"/>
      <c r="B266" s="45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>
      <c r="A267" s="43"/>
      <c r="B267" s="45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>
      <c r="A268" s="43"/>
      <c r="B268" s="45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>
      <c r="A269" s="43"/>
      <c r="B269" s="45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>
      <c r="A270" s="43"/>
      <c r="B270" s="45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>
      <c r="A271" s="43"/>
      <c r="B271" s="45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>
      <c r="A272" s="43"/>
      <c r="B272" s="45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>
      <c r="A273" s="43"/>
      <c r="B273" s="45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>
      <c r="A274" s="43"/>
      <c r="B274" s="45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>
      <c r="A275" s="43"/>
      <c r="B275" s="45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>
      <c r="A276" s="43"/>
      <c r="B276" s="45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>
      <c r="A277" s="43"/>
      <c r="B277" s="45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>
      <c r="A278" s="43"/>
      <c r="B278" s="45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>
      <c r="A279" s="43"/>
      <c r="B279" s="45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>
      <c r="A280" s="43"/>
      <c r="B280" s="45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>
      <c r="A281" s="43"/>
      <c r="B281" s="45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>
      <c r="A282" s="43"/>
      <c r="B282" s="45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>
      <c r="A283" s="43"/>
      <c r="B283" s="45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>
      <c r="A284" s="43"/>
      <c r="B284" s="45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>
      <c r="A285" s="43"/>
      <c r="B285" s="45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>
      <c r="A286" s="43"/>
      <c r="B286" s="45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>
      <c r="A287" s="43"/>
      <c r="B287" s="45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>
      <c r="A288" s="43"/>
      <c r="B288" s="45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>
      <c r="A289" s="43"/>
      <c r="B289" s="45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>
      <c r="A290" s="43"/>
      <c r="B290" s="45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>
      <c r="A291" s="43"/>
      <c r="B291" s="45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>
      <c r="A292" s="43"/>
      <c r="B292" s="45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>
      <c r="A293" s="43"/>
      <c r="B293" s="45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>
      <c r="A294" s="43"/>
      <c r="B294" s="45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>
      <c r="A295" s="43"/>
      <c r="B295" s="45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>
      <c r="A296" s="43"/>
      <c r="B296" s="45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>
      <c r="A297" s="43"/>
      <c r="B297" s="45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>
      <c r="A298" s="43"/>
      <c r="B298" s="45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>
      <c r="A299" s="43"/>
      <c r="B299" s="45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>
      <c r="A300" s="43"/>
      <c r="B300" s="45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>
      <c r="A301" s="43"/>
      <c r="B301" s="45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>
      <c r="A302" s="43"/>
      <c r="B302" s="45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>
      <c r="A303" s="43"/>
      <c r="B303" s="45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>
      <c r="A304" s="43"/>
      <c r="B304" s="45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>
      <c r="A305" s="43"/>
      <c r="B305" s="45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>
      <c r="A306" s="43"/>
      <c r="B306" s="45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>
      <c r="A307" s="43"/>
      <c r="B307" s="45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>
      <c r="A308" s="43"/>
      <c r="B308" s="45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>
      <c r="A309" s="43"/>
      <c r="B309" s="45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>
      <c r="A310" s="43"/>
      <c r="B310" s="45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>
      <c r="A311" s="43"/>
      <c r="B311" s="45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>
      <c r="A312" s="43"/>
      <c r="B312" s="45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>
      <c r="A313" s="43"/>
      <c r="B313" s="45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>
      <c r="A314" s="43"/>
      <c r="B314" s="45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>
      <c r="A315" s="43"/>
      <c r="B315" s="45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>
      <c r="A316" s="43"/>
      <c r="B316" s="45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>
      <c r="A317" s="43"/>
      <c r="B317" s="45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>
      <c r="A318" s="43"/>
      <c r="B318" s="45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>
      <c r="A319" s="43"/>
      <c r="B319" s="45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>
      <c r="A320" s="43"/>
      <c r="B320" s="45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>
      <c r="A321" s="43"/>
      <c r="B321" s="45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>
      <c r="A322" s="43"/>
      <c r="B322" s="45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>
      <c r="A323" s="43"/>
      <c r="B323" s="45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>
      <c r="A324" s="43"/>
      <c r="B324" s="45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>
      <c r="A325" s="43"/>
      <c r="B325" s="45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>
      <c r="A326" s="43"/>
      <c r="B326" s="45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>
      <c r="A327" s="43"/>
      <c r="B327" s="45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>
      <c r="A328" s="43"/>
      <c r="B328" s="45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>
      <c r="A329" s="43"/>
      <c r="B329" s="45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>
      <c r="A330" s="43"/>
      <c r="B330" s="45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>
      <c r="A331" s="43"/>
      <c r="B331" s="45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>
      <c r="A332" s="43"/>
      <c r="B332" s="45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>
      <c r="A333" s="43"/>
      <c r="B333" s="45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>
      <c r="A334" s="43"/>
      <c r="B334" s="45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>
      <c r="A335" s="43"/>
      <c r="B335" s="45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>
      <c r="A336" s="43"/>
      <c r="B336" s="45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>
      <c r="A337" s="43"/>
      <c r="B337" s="45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>
      <c r="A338" s="43"/>
      <c r="B338" s="45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>
      <c r="A339" s="43"/>
      <c r="B339" s="45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>
      <c r="A340" s="43"/>
      <c r="B340" s="45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>
      <c r="A341" s="43"/>
      <c r="B341" s="45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>
      <c r="A342" s="43"/>
      <c r="B342" s="45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>
      <c r="A343" s="43"/>
      <c r="B343" s="45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>
      <c r="A344" s="43"/>
      <c r="B344" s="45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>
      <c r="A345" s="43"/>
      <c r="B345" s="45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>
      <c r="A346" s="43"/>
      <c r="B346" s="45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>
      <c r="A347" s="43"/>
      <c r="B347" s="45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>
      <c r="A348" s="43"/>
      <c r="B348" s="45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>
      <c r="A349" s="43"/>
      <c r="B349" s="45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>
      <c r="A350" s="43"/>
      <c r="B350" s="45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>
      <c r="A351" s="43"/>
      <c r="B351" s="45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>
      <c r="A352" s="43"/>
      <c r="B352" s="45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>
      <c r="A353" s="43"/>
      <c r="B353" s="45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>
      <c r="A354" s="43"/>
      <c r="B354" s="45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>
      <c r="A355" s="43"/>
      <c r="B355" s="45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>
      <c r="A356" s="43"/>
      <c r="B356" s="45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>
      <c r="A357" s="43"/>
      <c r="B357" s="45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>
      <c r="A358" s="43"/>
      <c r="B358" s="45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>
      <c r="A359" s="43"/>
      <c r="B359" s="45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>
      <c r="A360" s="43"/>
      <c r="B360" s="45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>
      <c r="A361" s="43"/>
      <c r="B361" s="45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>
      <c r="A362" s="43"/>
      <c r="B362" s="45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>
      <c r="A363" s="43"/>
      <c r="B363" s="45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>
      <c r="A364" s="43"/>
      <c r="B364" s="45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>
      <c r="A365" s="43"/>
      <c r="B365" s="45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>
      <c r="A366" s="43"/>
      <c r="B366" s="45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>
      <c r="A367" s="43"/>
      <c r="B367" s="45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>
      <c r="A368" s="43"/>
      <c r="B368" s="45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>
      <c r="A369" s="43"/>
      <c r="B369" s="45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>
      <c r="A370" s="43"/>
      <c r="B370" s="45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>
      <c r="A371" s="43"/>
      <c r="B371" s="45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>
      <c r="A372" s="43"/>
      <c r="B372" s="45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>
      <c r="A373" s="43"/>
      <c r="B373" s="45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>
      <c r="A374" s="43"/>
      <c r="B374" s="45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>
      <c r="A375" s="43"/>
      <c r="B375" s="45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>
      <c r="A376" s="43"/>
      <c r="B376" s="45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>
      <c r="A377" s="43"/>
      <c r="B377" s="45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>
      <c r="A378" s="43"/>
      <c r="B378" s="45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>
      <c r="A379" s="43"/>
      <c r="B379" s="45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>
      <c r="A380" s="43"/>
      <c r="B380" s="45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>
      <c r="A381" s="43"/>
      <c r="B381" s="45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>
      <c r="A382" s="43"/>
      <c r="B382" s="45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>
      <c r="A383" s="43"/>
      <c r="B383" s="45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>
      <c r="A384" s="43"/>
      <c r="B384" s="45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>
      <c r="A385" s="43"/>
      <c r="B385" s="45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>
      <c r="A386" s="43"/>
      <c r="B386" s="45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>
      <c r="A387" s="43"/>
      <c r="B387" s="45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>
      <c r="A388" s="43"/>
      <c r="B388" s="45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>
      <c r="A389" s="43"/>
      <c r="B389" s="45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>
      <c r="A390" s="43"/>
      <c r="B390" s="45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>
      <c r="A391" s="43"/>
      <c r="B391" s="45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>
      <c r="A392" s="43"/>
      <c r="B392" s="45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>
      <c r="A393" s="43"/>
      <c r="B393" s="45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>
      <c r="A394" s="43"/>
      <c r="B394" s="45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>
      <c r="A395" s="43"/>
      <c r="B395" s="45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>
      <c r="A396" s="43"/>
      <c r="B396" s="45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>
      <c r="A397" s="43"/>
      <c r="B397" s="45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>
      <c r="A398" s="43"/>
      <c r="B398" s="45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>
      <c r="A399" s="43"/>
      <c r="B399" s="45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>
      <c r="A400" s="43"/>
      <c r="B400" s="45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>
      <c r="A401" s="43"/>
      <c r="B401" s="45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>
      <c r="A402" s="43"/>
      <c r="B402" s="45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>
      <c r="A403" s="43"/>
      <c r="B403" s="45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>
      <c r="A404" s="43"/>
      <c r="B404" s="45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>
      <c r="A405" s="43"/>
      <c r="B405" s="45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>
      <c r="A406" s="43"/>
      <c r="B406" s="45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>
      <c r="A407" s="43"/>
      <c r="B407" s="45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>
      <c r="A408" s="43"/>
      <c r="B408" s="45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>
      <c r="A409" s="43"/>
      <c r="B409" s="45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>
      <c r="A410" s="43"/>
      <c r="B410" s="45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>
      <c r="A411" s="43"/>
      <c r="B411" s="45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>
      <c r="A412" s="43"/>
      <c r="B412" s="45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>
      <c r="A413" s="43"/>
      <c r="B413" s="45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>
      <c r="A414" s="43"/>
      <c r="B414" s="45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>
      <c r="A415" s="43"/>
      <c r="B415" s="45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>
      <c r="A416" s="43"/>
      <c r="B416" s="45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>
      <c r="A417" s="43"/>
      <c r="B417" s="45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>
      <c r="A418" s="43"/>
      <c r="B418" s="45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>
      <c r="A419" s="43"/>
      <c r="B419" s="45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>
      <c r="A420" s="43"/>
      <c r="B420" s="45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>
      <c r="A421" s="43"/>
      <c r="B421" s="45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>
      <c r="A422" s="43"/>
      <c r="B422" s="45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>
      <c r="A423" s="43"/>
      <c r="B423" s="45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>
      <c r="A424" s="43"/>
      <c r="B424" s="45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>
      <c r="A425" s="43"/>
      <c r="B425" s="45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>
      <c r="A426" s="43"/>
      <c r="B426" s="45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>
      <c r="A427" s="43"/>
      <c r="B427" s="45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>
      <c r="A428" s="43"/>
      <c r="B428" s="45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>
      <c r="A429" s="43"/>
      <c r="B429" s="45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>
      <c r="A430" s="43"/>
      <c r="B430" s="45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>
      <c r="A431" s="43"/>
      <c r="B431" s="45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>
      <c r="A432" s="43"/>
      <c r="B432" s="45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>
      <c r="A433" s="43"/>
      <c r="B433" s="45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>
      <c r="A434" s="43"/>
      <c r="B434" s="45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>
      <c r="A435" s="43"/>
      <c r="B435" s="45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>
      <c r="A436" s="43"/>
      <c r="B436" s="45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>
      <c r="A437" s="43"/>
      <c r="B437" s="45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>
      <c r="A438" s="43"/>
      <c r="B438" s="45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>
      <c r="A439" s="43"/>
      <c r="B439" s="45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>
      <c r="A440" s="43"/>
      <c r="B440" s="45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>
      <c r="A441" s="43"/>
      <c r="B441" s="45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>
      <c r="A442" s="43"/>
      <c r="B442" s="45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>
      <c r="A443" s="43"/>
      <c r="B443" s="45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>
      <c r="A444" s="43"/>
      <c r="B444" s="45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>
      <c r="A445" s="43"/>
      <c r="B445" s="45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>
      <c r="A446" s="43"/>
      <c r="B446" s="45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>
      <c r="A447" s="43"/>
      <c r="B447" s="45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>
      <c r="A448" s="43"/>
      <c r="B448" s="45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>
      <c r="A449" s="43"/>
      <c r="B449" s="45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>
      <c r="A450" s="43"/>
      <c r="B450" s="45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>
      <c r="A451" s="43"/>
      <c r="B451" s="45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>
      <c r="A452" s="43"/>
      <c r="B452" s="45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>
      <c r="A453" s="43"/>
      <c r="B453" s="45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>
      <c r="A454" s="43"/>
      <c r="B454" s="45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>
      <c r="A455" s="43"/>
      <c r="B455" s="45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>
      <c r="A456" s="43"/>
      <c r="B456" s="45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>
      <c r="A457" s="43"/>
      <c r="B457" s="45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>
      <c r="A458" s="43"/>
      <c r="B458" s="45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>
      <c r="A459" s="43"/>
      <c r="B459" s="45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>
      <c r="A460" s="43"/>
      <c r="B460" s="45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>
      <c r="A461" s="43"/>
      <c r="B461" s="45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>
      <c r="A462" s="43"/>
      <c r="B462" s="45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>
      <c r="A463" s="43"/>
      <c r="B463" s="45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>
      <c r="A464" s="43"/>
      <c r="B464" s="45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>
      <c r="A465" s="43"/>
      <c r="B465" s="45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>
      <c r="A466" s="43"/>
      <c r="B466" s="45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>
      <c r="A467" s="43"/>
      <c r="B467" s="45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>
      <c r="A468" s="43"/>
      <c r="B468" s="45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>
      <c r="A469" s="43"/>
      <c r="B469" s="45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>
      <c r="A470" s="43"/>
      <c r="B470" s="45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>
      <c r="A471" s="43"/>
      <c r="B471" s="45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>
      <c r="A472" s="43"/>
      <c r="B472" s="45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>
      <c r="A473" s="43"/>
      <c r="B473" s="45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>
      <c r="A474" s="43"/>
      <c r="B474" s="45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>
      <c r="A475" s="43"/>
      <c r="B475" s="45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>
      <c r="A476" s="43"/>
      <c r="B476" s="45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>
      <c r="A477" s="43"/>
      <c r="B477" s="45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>
      <c r="A478" s="43"/>
      <c r="B478" s="45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>
      <c r="A479" s="43"/>
      <c r="B479" s="45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>
      <c r="A480" s="43"/>
      <c r="B480" s="45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>
      <c r="A481" s="43"/>
      <c r="B481" s="45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>
      <c r="A482" s="43"/>
      <c r="B482" s="45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>
      <c r="A483" s="43"/>
      <c r="B483" s="45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>
      <c r="A484" s="43"/>
      <c r="B484" s="45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>
      <c r="A485" s="43"/>
      <c r="B485" s="45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>
      <c r="A486" s="43"/>
      <c r="B486" s="45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>
      <c r="A487" s="43"/>
      <c r="B487" s="45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>
      <c r="A488" s="43"/>
      <c r="B488" s="45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>
      <c r="A489" s="43"/>
      <c r="B489" s="45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>
      <c r="A490" s="43"/>
      <c r="B490" s="45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>
      <c r="A491" s="43"/>
      <c r="B491" s="45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>
      <c r="A492" s="43"/>
      <c r="B492" s="45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>
      <c r="A493" s="43"/>
      <c r="B493" s="45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>
      <c r="A494" s="43"/>
      <c r="B494" s="45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>
      <c r="A495" s="43"/>
      <c r="B495" s="45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>
      <c r="A496" s="43"/>
      <c r="B496" s="45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>
      <c r="A497" s="43"/>
      <c r="B497" s="45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>
      <c r="A498" s="43"/>
      <c r="B498" s="45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>
      <c r="A499" s="43"/>
      <c r="B499" s="45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>
      <c r="A500" s="43"/>
      <c r="B500" s="45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>
      <c r="A501" s="43"/>
      <c r="B501" s="45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>
      <c r="A502" s="43"/>
      <c r="B502" s="45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>
      <c r="A503" s="43"/>
      <c r="B503" s="45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>
      <c r="A504" s="43"/>
      <c r="B504" s="45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>
      <c r="A505" s="43"/>
      <c r="B505" s="45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>
      <c r="A506" s="43"/>
      <c r="B506" s="45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>
      <c r="A507" s="43"/>
      <c r="B507" s="45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>
      <c r="A508" s="43"/>
      <c r="B508" s="45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>
      <c r="A509" s="43"/>
      <c r="B509" s="45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>
      <c r="A510" s="43"/>
      <c r="B510" s="45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>
      <c r="A511" s="43"/>
      <c r="B511" s="45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>
      <c r="A512" s="43"/>
      <c r="B512" s="45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>
      <c r="A513" s="43"/>
      <c r="B513" s="45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>
      <c r="A514" s="43"/>
      <c r="B514" s="45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>
      <c r="A515" s="43"/>
      <c r="B515" s="45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>
      <c r="A516" s="43"/>
      <c r="B516" s="45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>
      <c r="A517" s="43"/>
      <c r="B517" s="45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>
      <c r="A518" s="43"/>
      <c r="B518" s="45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>
      <c r="A519" s="43"/>
      <c r="B519" s="45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>
      <c r="A520" s="43"/>
      <c r="B520" s="45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>
      <c r="A521" s="43"/>
      <c r="B521" s="45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>
      <c r="A522" s="43"/>
      <c r="B522" s="45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>
      <c r="A523" s="43"/>
      <c r="B523" s="45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>
      <c r="A524" s="43"/>
      <c r="B524" s="45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>
      <c r="A525" s="43"/>
      <c r="B525" s="45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>
      <c r="A526" s="43"/>
      <c r="B526" s="45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>
      <c r="A527" s="43"/>
      <c r="B527" s="45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>
      <c r="A528" s="43"/>
      <c r="B528" s="45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>
      <c r="A529" s="43"/>
      <c r="B529" s="45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>
      <c r="A530" s="43"/>
      <c r="B530" s="45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>
      <c r="A531" s="43"/>
      <c r="B531" s="45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>
      <c r="A532" s="43"/>
      <c r="B532" s="45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>
      <c r="A533" s="43"/>
      <c r="B533" s="45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>
      <c r="A534" s="43"/>
      <c r="B534" s="45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>
      <c r="A535" s="43"/>
      <c r="B535" s="45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>
      <c r="A536" s="43"/>
      <c r="B536" s="45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>
      <c r="A537" s="43"/>
      <c r="B537" s="45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>
      <c r="A538" s="43"/>
      <c r="B538" s="45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>
      <c r="A539" s="43"/>
      <c r="B539" s="45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>
      <c r="A540" s="43"/>
      <c r="B540" s="45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>
      <c r="A541" s="43"/>
      <c r="B541" s="45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>
      <c r="A542" s="43"/>
      <c r="B542" s="45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>
      <c r="A543" s="43"/>
      <c r="B543" s="45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>
      <c r="A544" s="43"/>
      <c r="B544" s="45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>
      <c r="A545" s="43"/>
      <c r="B545" s="45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>
      <c r="A546" s="43"/>
      <c r="B546" s="45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>
      <c r="A547" s="43"/>
      <c r="B547" s="45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>
      <c r="A548" s="43"/>
      <c r="B548" s="45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>
      <c r="A549" s="43"/>
      <c r="B549" s="45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>
      <c r="A550" s="43"/>
      <c r="B550" s="45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>
      <c r="A551" s="43"/>
      <c r="B551" s="45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>
      <c r="A552" s="43"/>
      <c r="B552" s="45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>
      <c r="A553" s="43"/>
      <c r="B553" s="45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>
      <c r="A554" s="43"/>
      <c r="B554" s="45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>
      <c r="A555" s="43"/>
      <c r="B555" s="45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>
      <c r="A556" s="43"/>
      <c r="B556" s="45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>
      <c r="A557" s="43"/>
      <c r="B557" s="45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>
      <c r="A558" s="43"/>
      <c r="B558" s="45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>
      <c r="A559" s="43"/>
      <c r="B559" s="45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>
      <c r="A560" s="43"/>
      <c r="B560" s="45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>
      <c r="A561" s="43"/>
      <c r="B561" s="45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>
      <c r="A562" s="43"/>
      <c r="B562" s="45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>
      <c r="A563" s="43"/>
      <c r="B563" s="45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>
      <c r="A564" s="43"/>
      <c r="B564" s="45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>
      <c r="A565" s="43"/>
      <c r="B565" s="45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>
      <c r="A566" s="43"/>
      <c r="B566" s="45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>
      <c r="A567" s="43"/>
      <c r="B567" s="45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>
      <c r="A568" s="43"/>
      <c r="B568" s="45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>
      <c r="A569" s="43"/>
      <c r="B569" s="45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>
      <c r="A570" s="43"/>
      <c r="B570" s="45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>
      <c r="A571" s="43"/>
      <c r="B571" s="45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>
      <c r="A572" s="43"/>
      <c r="B572" s="45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>
      <c r="A573" s="43"/>
      <c r="B573" s="45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>
      <c r="A574" s="43"/>
      <c r="B574" s="45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>
      <c r="A575" s="43"/>
      <c r="B575" s="45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>
      <c r="A576" s="43"/>
      <c r="B576" s="45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>
      <c r="A577" s="43"/>
      <c r="B577" s="45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>
      <c r="A578" s="43"/>
      <c r="B578" s="45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>
      <c r="A579" s="43"/>
      <c r="B579" s="45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>
      <c r="A580" s="43"/>
      <c r="B580" s="45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>
      <c r="A581" s="43"/>
      <c r="B581" s="45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>
      <c r="A582" s="43"/>
      <c r="B582" s="45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>
      <c r="A583" s="43"/>
      <c r="B583" s="45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>
      <c r="A584" s="43"/>
      <c r="B584" s="45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>
      <c r="A585" s="43"/>
      <c r="B585" s="45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>
      <c r="A586" s="43"/>
      <c r="B586" s="45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>
      <c r="A587" s="43"/>
      <c r="B587" s="45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>
      <c r="A588" s="43"/>
      <c r="B588" s="45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>
      <c r="A589" s="43"/>
      <c r="B589" s="45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>
      <c r="A590" s="43"/>
      <c r="B590" s="45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>
      <c r="A591" s="43"/>
      <c r="B591" s="45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>
      <c r="A592" s="43"/>
      <c r="B592" s="45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>
      <c r="A593" s="43"/>
      <c r="B593" s="45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>
      <c r="A594" s="43"/>
      <c r="B594" s="45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>
      <c r="A595" s="43"/>
      <c r="B595" s="45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>
      <c r="A596" s="43"/>
      <c r="B596" s="45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>
      <c r="A597" s="43"/>
      <c r="B597" s="45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>
      <c r="A598" s="43"/>
      <c r="B598" s="45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>
      <c r="A599" s="43"/>
      <c r="B599" s="45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>
      <c r="A600" s="43"/>
      <c r="B600" s="45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>
      <c r="A601" s="43"/>
      <c r="B601" s="45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>
      <c r="A602" s="43"/>
      <c r="B602" s="45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>
      <c r="A603" s="43"/>
      <c r="B603" s="45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>
      <c r="A604" s="43"/>
      <c r="B604" s="45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>
      <c r="A605" s="43"/>
      <c r="B605" s="45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>
      <c r="A606" s="43"/>
      <c r="B606" s="45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>
      <c r="A607" s="43"/>
      <c r="B607" s="45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>
      <c r="A608" s="43"/>
      <c r="B608" s="45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>
      <c r="A609" s="43"/>
      <c r="B609" s="45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>
      <c r="A610" s="43"/>
      <c r="B610" s="45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>
      <c r="A611" s="43"/>
      <c r="B611" s="45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>
      <c r="A612" s="43"/>
      <c r="B612" s="45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>
      <c r="A613" s="43"/>
      <c r="B613" s="45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>
      <c r="A614" s="43"/>
      <c r="B614" s="45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>
      <c r="A615" s="43"/>
      <c r="B615" s="45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>
      <c r="A616" s="43"/>
      <c r="B616" s="45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>
      <c r="A617" s="43"/>
      <c r="B617" s="45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>
      <c r="A618" s="43"/>
      <c r="B618" s="45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>
      <c r="A619" s="43"/>
      <c r="B619" s="45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>
      <c r="A620" s="43"/>
      <c r="B620" s="45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>
      <c r="A621" s="43"/>
      <c r="B621" s="45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>
      <c r="A622" s="43"/>
      <c r="B622" s="45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>
      <c r="A623" s="43"/>
      <c r="B623" s="45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>
      <c r="A624" s="43"/>
      <c r="B624" s="45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>
      <c r="A625" s="43"/>
      <c r="B625" s="45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>
      <c r="A626" s="43"/>
      <c r="B626" s="45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>
      <c r="A627" s="43"/>
      <c r="B627" s="45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>
      <c r="A628" s="43"/>
      <c r="B628" s="45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>
      <c r="A629" s="43"/>
      <c r="B629" s="45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>
      <c r="A630" s="43"/>
      <c r="B630" s="45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>
      <c r="A631" s="43"/>
      <c r="B631" s="45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>
      <c r="A632" s="43"/>
      <c r="B632" s="45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>
      <c r="A633" s="43"/>
      <c r="B633" s="45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>
      <c r="A634" s="43"/>
      <c r="B634" s="45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>
      <c r="A635" s="43"/>
      <c r="B635" s="45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>
      <c r="A636" s="43"/>
      <c r="B636" s="45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>
      <c r="A637" s="43"/>
      <c r="B637" s="45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>
      <c r="A638" s="43"/>
      <c r="B638" s="45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>
      <c r="A639" s="43"/>
      <c r="B639" s="45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>
      <c r="A640" s="43"/>
      <c r="B640" s="45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>
      <c r="A641" s="43"/>
      <c r="B641" s="45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>
      <c r="A642" s="43"/>
      <c r="B642" s="45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>
      <c r="A643" s="43"/>
      <c r="B643" s="45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>
      <c r="A644" s="43"/>
      <c r="B644" s="45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>
      <c r="A645" s="43"/>
      <c r="B645" s="45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>
      <c r="A646" s="43"/>
      <c r="B646" s="45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>
      <c r="A647" s="43"/>
      <c r="B647" s="45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>
      <c r="A648" s="43"/>
      <c r="B648" s="45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>
      <c r="A649" s="43"/>
      <c r="B649" s="45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>
      <c r="A650" s="43"/>
      <c r="B650" s="45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>
      <c r="A651" s="43"/>
      <c r="B651" s="45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>
      <c r="A652" s="43"/>
      <c r="B652" s="45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>
      <c r="A653" s="43"/>
      <c r="B653" s="45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>
      <c r="A654" s="43"/>
      <c r="B654" s="45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>
      <c r="A655" s="43"/>
      <c r="B655" s="45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>
      <c r="A656" s="43"/>
      <c r="B656" s="45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>
      <c r="A657" s="43"/>
      <c r="B657" s="45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>
      <c r="A658" s="43"/>
      <c r="B658" s="45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>
      <c r="A659" s="43"/>
      <c r="B659" s="45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>
      <c r="A660" s="43"/>
      <c r="B660" s="45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>
      <c r="A661" s="43"/>
      <c r="B661" s="45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>
      <c r="A662" s="43"/>
      <c r="B662" s="45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>
      <c r="A663" s="43"/>
      <c r="B663" s="45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>
      <c r="A664" s="43"/>
      <c r="B664" s="45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>
      <c r="A665" s="43"/>
      <c r="B665" s="45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>
      <c r="A666" s="43"/>
      <c r="B666" s="45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>
      <c r="A667" s="43"/>
      <c r="B667" s="45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>
      <c r="A668" s="43"/>
      <c r="B668" s="45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>
      <c r="A669" s="43"/>
      <c r="B669" s="45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>
      <c r="A670" s="43"/>
      <c r="B670" s="45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>
      <c r="A671" s="43"/>
      <c r="B671" s="45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>
      <c r="A672" s="43"/>
      <c r="B672" s="45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>
      <c r="A673" s="43"/>
      <c r="B673" s="45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>
      <c r="A674" s="43"/>
      <c r="B674" s="45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>
      <c r="A675" s="43"/>
      <c r="B675" s="45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>
      <c r="A676" s="43"/>
      <c r="B676" s="45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>
      <c r="A677" s="43"/>
      <c r="B677" s="45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>
      <c r="A678" s="43"/>
      <c r="B678" s="45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>
      <c r="A679" s="43"/>
      <c r="B679" s="45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>
      <c r="A680" s="43"/>
      <c r="B680" s="45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>
      <c r="A681" s="43"/>
      <c r="B681" s="45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>
      <c r="A682" s="43"/>
      <c r="B682" s="45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>
      <c r="A683" s="43"/>
      <c r="B683" s="45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>
      <c r="A684" s="43"/>
      <c r="B684" s="45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>
      <c r="A685" s="43"/>
      <c r="B685" s="45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>
      <c r="A686" s="43"/>
      <c r="B686" s="45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>
      <c r="A687" s="43"/>
      <c r="B687" s="45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>
      <c r="A688" s="43"/>
      <c r="B688" s="45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>
      <c r="A689" s="43"/>
      <c r="B689" s="45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>
      <c r="A690" s="43"/>
      <c r="B690" s="45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>
      <c r="A691" s="43"/>
      <c r="B691" s="45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>
      <c r="A692" s="43"/>
      <c r="B692" s="45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>
      <c r="A693" s="43"/>
      <c r="B693" s="45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>
      <c r="A694" s="43"/>
      <c r="B694" s="45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>
      <c r="A695" s="43"/>
      <c r="B695" s="45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>
      <c r="A696" s="43"/>
      <c r="B696" s="45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>
      <c r="A697" s="43"/>
      <c r="B697" s="45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>
      <c r="A698" s="43"/>
      <c r="B698" s="45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>
      <c r="A699" s="43"/>
      <c r="B699" s="45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>
      <c r="A700" s="43"/>
      <c r="B700" s="45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>
      <c r="A701" s="43"/>
      <c r="B701" s="45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>
      <c r="A702" s="43"/>
      <c r="B702" s="45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>
      <c r="A703" s="43"/>
      <c r="B703" s="45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>
      <c r="A704" s="43"/>
      <c r="B704" s="45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>
      <c r="A705" s="43"/>
      <c r="B705" s="45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>
      <c r="A706" s="43"/>
      <c r="B706" s="45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>
      <c r="A707" s="43"/>
      <c r="B707" s="45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>
      <c r="A708" s="43"/>
      <c r="B708" s="45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>
      <c r="A709" s="43"/>
      <c r="B709" s="45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>
      <c r="A710" s="43"/>
      <c r="B710" s="45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>
      <c r="A711" s="43"/>
      <c r="B711" s="45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>
      <c r="A712" s="43"/>
      <c r="B712" s="45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>
      <c r="A713" s="43"/>
      <c r="B713" s="45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>
      <c r="A714" s="43"/>
      <c r="B714" s="45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>
      <c r="A715" s="43"/>
      <c r="B715" s="45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>
      <c r="A716" s="43"/>
      <c r="B716" s="45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>
      <c r="A717" s="43"/>
      <c r="B717" s="45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>
      <c r="A718" s="43"/>
      <c r="B718" s="45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>
      <c r="A719" s="43"/>
      <c r="B719" s="45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>
      <c r="A720" s="43"/>
      <c r="B720" s="45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>
      <c r="A721" s="43"/>
      <c r="B721" s="45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>
      <c r="A722" s="43"/>
      <c r="B722" s="45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>
      <c r="A723" s="43"/>
      <c r="B723" s="45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>
      <c r="A724" s="43"/>
      <c r="B724" s="45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>
      <c r="A725" s="43"/>
      <c r="B725" s="45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>
      <c r="A726" s="43"/>
      <c r="B726" s="45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>
      <c r="A727" s="43"/>
      <c r="B727" s="45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>
      <c r="A728" s="43"/>
      <c r="B728" s="45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>
      <c r="A729" s="43"/>
      <c r="B729" s="45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>
      <c r="A730" s="43"/>
      <c r="B730" s="45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>
      <c r="A731" s="43"/>
      <c r="B731" s="45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>
      <c r="A732" s="43"/>
      <c r="B732" s="45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>
      <c r="A733" s="43"/>
      <c r="B733" s="45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>
      <c r="A734" s="43"/>
      <c r="B734" s="45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>
      <c r="A735" s="43"/>
      <c r="B735" s="45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>
      <c r="A736" s="43"/>
      <c r="B736" s="45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>
      <c r="A737" s="43"/>
      <c r="B737" s="45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>
      <c r="A738" s="43"/>
      <c r="B738" s="45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>
      <c r="A739" s="43"/>
      <c r="B739" s="45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>
      <c r="A740" s="43"/>
      <c r="B740" s="45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>
      <c r="A741" s="43"/>
      <c r="B741" s="45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>
      <c r="A742" s="43"/>
      <c r="B742" s="45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>
      <c r="A743" s="43"/>
      <c r="B743" s="45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>
      <c r="A744" s="43"/>
      <c r="B744" s="45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>
      <c r="A745" s="43"/>
      <c r="B745" s="45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>
      <c r="A746" s="43"/>
      <c r="B746" s="45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>
      <c r="A747" s="43"/>
      <c r="B747" s="45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>
      <c r="A748" s="43"/>
      <c r="B748" s="45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>
      <c r="A749" s="43"/>
      <c r="B749" s="45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>
      <c r="A750" s="43"/>
      <c r="B750" s="45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>
      <c r="A751" s="43"/>
      <c r="B751" s="45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>
      <c r="A752" s="43"/>
      <c r="B752" s="45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>
      <c r="A753" s="43"/>
      <c r="B753" s="45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>
      <c r="A754" s="43"/>
      <c r="B754" s="45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>
      <c r="A755" s="43"/>
      <c r="B755" s="45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>
      <c r="A756" s="43"/>
      <c r="B756" s="45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>
      <c r="A757" s="43"/>
      <c r="B757" s="45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>
      <c r="A758" s="43"/>
      <c r="B758" s="45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>
      <c r="A759" s="43"/>
      <c r="B759" s="45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>
      <c r="A760" s="43"/>
      <c r="B760" s="45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>
      <c r="A761" s="43"/>
      <c r="B761" s="45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>
      <c r="A762" s="43"/>
      <c r="B762" s="45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>
      <c r="A763" s="43"/>
      <c r="B763" s="45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>
      <c r="A764" s="43"/>
      <c r="B764" s="45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>
      <c r="A765" s="43"/>
      <c r="B765" s="45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>
      <c r="A766" s="43"/>
      <c r="B766" s="45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>
      <c r="A767" s="43"/>
      <c r="B767" s="45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>
      <c r="A768" s="43"/>
      <c r="B768" s="45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>
      <c r="A769" s="43"/>
      <c r="B769" s="45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>
      <c r="A770" s="43"/>
      <c r="B770" s="45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>
      <c r="A771" s="43"/>
      <c r="B771" s="45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>
      <c r="A772" s="43"/>
      <c r="B772" s="45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>
      <c r="A773" s="43"/>
      <c r="B773" s="45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>
      <c r="A774" s="43"/>
      <c r="B774" s="45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>
      <c r="A775" s="43"/>
      <c r="B775" s="45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>
      <c r="A776" s="43"/>
      <c r="B776" s="45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>
      <c r="A777" s="43"/>
      <c r="B777" s="45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>
      <c r="A778" s="43"/>
      <c r="B778" s="45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>
      <c r="A779" s="43"/>
      <c r="B779" s="45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>
      <c r="A780" s="43"/>
      <c r="B780" s="45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>
      <c r="A781" s="43"/>
      <c r="B781" s="45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>
      <c r="A782" s="43"/>
      <c r="B782" s="45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>
      <c r="A783" s="43"/>
      <c r="B783" s="45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>
      <c r="A784" s="43"/>
      <c r="B784" s="45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>
      <c r="A785" s="43"/>
      <c r="B785" s="45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>
      <c r="A786" s="43"/>
      <c r="B786" s="45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>
      <c r="A787" s="43"/>
      <c r="B787" s="45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>
      <c r="A788" s="43"/>
      <c r="B788" s="45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>
      <c r="A789" s="43"/>
      <c r="B789" s="45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>
      <c r="A790" s="43"/>
      <c r="B790" s="45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>
      <c r="A791" s="43"/>
      <c r="B791" s="45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>
      <c r="A792" s="43"/>
      <c r="B792" s="45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>
      <c r="A793" s="43"/>
      <c r="B793" s="45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>
      <c r="A794" s="43"/>
      <c r="B794" s="45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>
      <c r="A795" s="43"/>
      <c r="B795" s="45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>
      <c r="A796" s="43"/>
      <c r="B796" s="45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>
      <c r="A797" s="43"/>
      <c r="B797" s="45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>
      <c r="A798" s="43"/>
      <c r="B798" s="45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>
      <c r="A799" s="43"/>
      <c r="B799" s="45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>
      <c r="A800" s="43"/>
      <c r="B800" s="45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>
      <c r="A801" s="43"/>
      <c r="B801" s="45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>
      <c r="A802" s="43"/>
      <c r="B802" s="45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>
      <c r="A803" s="43"/>
      <c r="B803" s="45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>
      <c r="A804" s="43"/>
      <c r="B804" s="45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>
      <c r="A805" s="43"/>
      <c r="B805" s="45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>
      <c r="A806" s="43"/>
      <c r="B806" s="45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>
      <c r="A807" s="43"/>
      <c r="B807" s="45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>
      <c r="A808" s="43"/>
      <c r="B808" s="45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>
      <c r="A809" s="43"/>
      <c r="B809" s="45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>
      <c r="A810" s="43"/>
      <c r="B810" s="45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>
      <c r="A811" s="43"/>
      <c r="B811" s="45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>
      <c r="A812" s="43"/>
      <c r="B812" s="45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>
      <c r="A813" s="43"/>
      <c r="B813" s="45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>
      <c r="A814" s="43"/>
      <c r="B814" s="45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>
      <c r="A815" s="43"/>
      <c r="B815" s="45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>
      <c r="A816" s="43"/>
      <c r="B816" s="45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>
      <c r="A817" s="43"/>
      <c r="B817" s="45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>
      <c r="A818" s="43"/>
      <c r="B818" s="45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>
      <c r="A819" s="43"/>
      <c r="B819" s="45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>
      <c r="A820" s="43"/>
      <c r="B820" s="45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>
      <c r="A821" s="43"/>
      <c r="B821" s="45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>
      <c r="A822" s="43"/>
      <c r="B822" s="45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>
      <c r="A823" s="43"/>
      <c r="B823" s="45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>
      <c r="A824" s="43"/>
      <c r="B824" s="45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>
      <c r="A825" s="43"/>
      <c r="B825" s="45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>
      <c r="A826" s="43"/>
      <c r="B826" s="45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>
      <c r="A827" s="43"/>
      <c r="B827" s="45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>
      <c r="A828" s="43"/>
      <c r="B828" s="45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>
      <c r="A829" s="43"/>
      <c r="B829" s="45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>
      <c r="A830" s="43"/>
      <c r="B830" s="45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>
      <c r="A831" s="43"/>
      <c r="B831" s="45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>
      <c r="A832" s="43"/>
      <c r="B832" s="45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>
      <c r="A833" s="43"/>
      <c r="B833" s="45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>
      <c r="A834" s="43"/>
      <c r="B834" s="45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>
      <c r="A835" s="43"/>
      <c r="B835" s="45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>
      <c r="A836" s="43"/>
      <c r="B836" s="45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>
      <c r="A837" s="43"/>
      <c r="B837" s="45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>
      <c r="A838" s="43"/>
      <c r="B838" s="45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>
      <c r="A839" s="43"/>
      <c r="B839" s="45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>
      <c r="A840" s="43"/>
      <c r="B840" s="45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>
      <c r="A841" s="43"/>
      <c r="B841" s="45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>
      <c r="A842" s="43"/>
      <c r="B842" s="45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>
      <c r="A843" s="43"/>
      <c r="B843" s="45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>
      <c r="A844" s="43"/>
      <c r="B844" s="45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>
      <c r="A845" s="43"/>
      <c r="B845" s="45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>
      <c r="A846" s="43"/>
      <c r="B846" s="45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>
      <c r="A847" s="43"/>
      <c r="B847" s="45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>
      <c r="A848" s="43"/>
      <c r="B848" s="45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>
      <c r="A849" s="43"/>
      <c r="B849" s="45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>
      <c r="A850" s="43"/>
      <c r="B850" s="45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>
      <c r="A851" s="43"/>
      <c r="B851" s="45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>
      <c r="A852" s="43"/>
      <c r="B852" s="45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>
      <c r="A853" s="43"/>
      <c r="B853" s="45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>
      <c r="A854" s="43"/>
      <c r="B854" s="45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>
      <c r="A855" s="43"/>
      <c r="B855" s="45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>
      <c r="A856" s="43"/>
      <c r="B856" s="45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>
      <c r="A857" s="43"/>
      <c r="B857" s="45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>
      <c r="A858" s="43"/>
      <c r="B858" s="45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>
      <c r="A859" s="43"/>
      <c r="B859" s="45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>
      <c r="A860" s="43"/>
      <c r="B860" s="45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>
      <c r="A861" s="43"/>
      <c r="B861" s="45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>
      <c r="A862" s="43"/>
      <c r="B862" s="45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>
      <c r="A863" s="43"/>
      <c r="B863" s="45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>
      <c r="A864" s="43"/>
      <c r="B864" s="45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>
      <c r="A865" s="43"/>
      <c r="B865" s="45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>
      <c r="A866" s="43"/>
      <c r="B866" s="45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>
      <c r="A867" s="43"/>
      <c r="B867" s="45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>
      <c r="A868" s="43"/>
      <c r="B868" s="45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>
      <c r="A869" s="43"/>
      <c r="B869" s="45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>
      <c r="A870" s="43"/>
      <c r="B870" s="45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>
      <c r="A871" s="43"/>
      <c r="B871" s="45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>
      <c r="A872" s="43"/>
      <c r="B872" s="45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>
      <c r="A873" s="43"/>
      <c r="B873" s="45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>
      <c r="A874" s="43"/>
      <c r="B874" s="45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>
      <c r="A875" s="43"/>
      <c r="B875" s="45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>
      <c r="A876" s="43"/>
      <c r="B876" s="45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>
      <c r="A877" s="43"/>
      <c r="B877" s="45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>
      <c r="A878" s="43"/>
      <c r="B878" s="45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>
      <c r="A879" s="43"/>
      <c r="B879" s="45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>
      <c r="A880" s="43"/>
      <c r="B880" s="45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>
      <c r="A881" s="43"/>
      <c r="B881" s="45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>
      <c r="A882" s="43"/>
      <c r="B882" s="45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>
      <c r="A883" s="43"/>
      <c r="B883" s="45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>
      <c r="A884" s="43"/>
      <c r="B884" s="45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>
      <c r="A885" s="43"/>
      <c r="B885" s="45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>
      <c r="A886" s="43"/>
      <c r="B886" s="45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>
      <c r="A887" s="43"/>
      <c r="B887" s="45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>
      <c r="A888" s="43"/>
      <c r="B888" s="45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>
      <c r="A889" s="43"/>
      <c r="B889" s="45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>
      <c r="A890" s="43"/>
      <c r="B890" s="45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>
      <c r="A891" s="43"/>
      <c r="B891" s="45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>
      <c r="A892" s="43"/>
      <c r="B892" s="45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>
      <c r="A893" s="43"/>
      <c r="B893" s="45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>
      <c r="A894" s="43"/>
      <c r="B894" s="45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>
      <c r="A895" s="43"/>
      <c r="B895" s="45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>
      <c r="A896" s="43"/>
      <c r="B896" s="45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>
      <c r="A897" s="43"/>
      <c r="B897" s="45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>
      <c r="A898" s="43"/>
      <c r="B898" s="45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>
      <c r="A899" s="43"/>
      <c r="B899" s="45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>
      <c r="A900" s="43"/>
      <c r="B900" s="45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>
      <c r="A901" s="43"/>
      <c r="B901" s="45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>
      <c r="A902" s="43"/>
      <c r="B902" s="45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>
      <c r="A903" s="43"/>
      <c r="B903" s="45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>
      <c r="A904" s="43"/>
      <c r="B904" s="45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>
      <c r="A905" s="43"/>
      <c r="B905" s="45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>
      <c r="A906" s="43"/>
      <c r="B906" s="45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>
      <c r="A907" s="43"/>
      <c r="B907" s="45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>
      <c r="A908" s="43"/>
      <c r="B908" s="45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>
      <c r="A909" s="43"/>
      <c r="B909" s="45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>
      <c r="A910" s="43"/>
      <c r="B910" s="45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>
      <c r="A911" s="43"/>
      <c r="B911" s="45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>
      <c r="A912" s="43"/>
      <c r="B912" s="45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>
      <c r="A913" s="43"/>
      <c r="B913" s="45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>
      <c r="A914" s="43"/>
      <c r="B914" s="45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>
      <c r="A915" s="43"/>
      <c r="B915" s="45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>
      <c r="A916" s="43"/>
      <c r="B916" s="45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>
      <c r="A917" s="43"/>
      <c r="B917" s="45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>
      <c r="A918" s="43"/>
      <c r="B918" s="45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>
      <c r="A919" s="43"/>
      <c r="B919" s="45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>
      <c r="A920" s="43"/>
      <c r="B920" s="45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>
      <c r="A921" s="43"/>
      <c r="B921" s="45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>
      <c r="A922" s="43"/>
      <c r="B922" s="45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>
      <c r="A923" s="43"/>
      <c r="B923" s="45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>
      <c r="A924" s="43"/>
      <c r="B924" s="45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>
      <c r="A925" s="43"/>
      <c r="B925" s="45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>
      <c r="A926" s="43"/>
      <c r="B926" s="45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>
      <c r="A927" s="43"/>
      <c r="B927" s="45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>
      <c r="A928" s="43"/>
      <c r="B928" s="45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>
      <c r="A929" s="43"/>
      <c r="B929" s="45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>
      <c r="A930" s="43"/>
      <c r="B930" s="45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>
      <c r="A931" s="43"/>
      <c r="B931" s="45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>
      <c r="A932" s="43"/>
      <c r="B932" s="45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>
      <c r="A933" s="43"/>
      <c r="B933" s="45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>
      <c r="A934" s="43"/>
      <c r="B934" s="45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>
      <c r="A935" s="43"/>
      <c r="B935" s="45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>
      <c r="A936" s="43"/>
      <c r="B936" s="45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>
      <c r="A937" s="43"/>
      <c r="B937" s="45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>
      <c r="A938" s="43"/>
      <c r="B938" s="45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>
      <c r="A939" s="43"/>
      <c r="B939" s="45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>
      <c r="A940" s="43"/>
      <c r="B940" s="45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>
      <c r="A941" s="43"/>
      <c r="B941" s="45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>
      <c r="A942" s="43"/>
      <c r="B942" s="45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>
      <c r="A943" s="43"/>
      <c r="B943" s="45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>
      <c r="A944" s="43"/>
      <c r="B944" s="45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>
      <c r="A945" s="43"/>
      <c r="B945" s="45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>
      <c r="A946" s="43"/>
      <c r="B946" s="45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>
      <c r="A947" s="43"/>
      <c r="B947" s="45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>
      <c r="A948" s="43"/>
      <c r="B948" s="45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>
      <c r="A949" s="43"/>
      <c r="B949" s="45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>
      <c r="A950" s="43"/>
      <c r="B950" s="45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>
      <c r="A951" s="43"/>
      <c r="B951" s="45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>
      <c r="A952" s="43"/>
      <c r="B952" s="45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>
      <c r="A953" s="43"/>
      <c r="B953" s="45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>
      <c r="A954" s="43"/>
      <c r="B954" s="45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>
      <c r="A955" s="43"/>
      <c r="B955" s="45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>
      <c r="A956" s="43"/>
      <c r="B956" s="45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>
      <c r="A957" s="43"/>
      <c r="B957" s="45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>
      <c r="A958" s="43"/>
      <c r="B958" s="45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>
      <c r="A959" s="43"/>
      <c r="B959" s="45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>
      <c r="A960" s="43"/>
      <c r="B960" s="45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>
      <c r="A961" s="43"/>
      <c r="B961" s="45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>
      <c r="A962" s="43"/>
      <c r="B962" s="45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>
      <c r="A963" s="43"/>
      <c r="B963" s="45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>
      <c r="A964" s="43"/>
      <c r="B964" s="45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>
      <c r="A965" s="43"/>
      <c r="B965" s="45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>
      <c r="A966" s="43"/>
      <c r="B966" s="45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>
      <c r="A967" s="43"/>
      <c r="B967" s="45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>
      <c r="A968" s="43"/>
      <c r="B968" s="45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>
      <c r="A969" s="43"/>
      <c r="B969" s="45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>
      <c r="A970" s="43"/>
      <c r="B970" s="45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>
      <c r="A971" s="43"/>
      <c r="B971" s="45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>
      <c r="A972" s="43"/>
      <c r="B972" s="45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>
      <c r="A973" s="43"/>
      <c r="B973" s="45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>
      <c r="A974" s="43"/>
      <c r="B974" s="45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>
      <c r="A975" s="43"/>
      <c r="B975" s="45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>
      <c r="A976" s="43"/>
      <c r="B976" s="45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>
      <c r="A977" s="43"/>
      <c r="B977" s="45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>
      <c r="A978" s="43"/>
      <c r="B978" s="45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>
      <c r="A979" s="43"/>
      <c r="B979" s="45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>
      <c r="A980" s="43"/>
      <c r="B980" s="45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>
      <c r="A981" s="43"/>
      <c r="B981" s="45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>
      <c r="A982" s="43"/>
      <c r="B982" s="45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>
      <c r="A983" s="43"/>
      <c r="B983" s="45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>
      <c r="A984" s="43"/>
      <c r="B984" s="45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>
      <c r="A985" s="43"/>
      <c r="B985" s="45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>
      <c r="A986" s="43"/>
      <c r="B986" s="45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>
      <c r="A987" s="43"/>
      <c r="B987" s="45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>
      <c r="A988" s="43"/>
      <c r="B988" s="45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>
      <c r="A989" s="43"/>
      <c r="B989" s="45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>
      <c r="A990" s="43"/>
      <c r="B990" s="45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>
      <c r="A991" s="43"/>
      <c r="B991" s="45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>
      <c r="A992" s="43"/>
      <c r="B992" s="45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>
      <c r="A993" s="43"/>
      <c r="B993" s="45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</sheetData>
  <mergeCells count="2">
    <mergeCell ref="A1:J1"/>
    <mergeCell ref="K1:N1"/>
  </mergeCells>
  <hyperlinks>
    <hyperlink display="Almond" location="null!A1" ref="B3"/>
    <hyperlink display="Aonla" location="null!A1" ref="B4"/>
    <hyperlink display="Bael" location="null!A1" ref="B5"/>
    <hyperlink display="Bael" location="null!A1" ref="B6"/>
    <hyperlink display="Bael" location="null!A1" ref="B7"/>
    <hyperlink display="Bael" location="null!A1" ref="B8"/>
    <hyperlink display="Ber" location="null!A1" ref="B9"/>
    <hyperlink display="Curry Leaf" location="null!A1" ref="B10"/>
    <hyperlink display="Dragon fruit " location="null!A1" ref="B11"/>
    <hyperlink display="Dragon fruit " location="null!A1" ref="B12"/>
    <hyperlink display="Drum Stick" location="null!A1" ref="B13"/>
    <hyperlink display="Fig" location="null!A1" ref="B14"/>
    <hyperlink display="Fig" location="null!A1" ref="B15"/>
    <hyperlink display="Fig" location="null!A1" ref="B16"/>
    <hyperlink display="Grape fruit " location="null!A1" ref="B17"/>
    <hyperlink display="Guava " location="null!A1" ref="B18"/>
    <hyperlink display="Guava" location="null!A1" ref="B19"/>
    <hyperlink display="Jackfruit" location="null!A1" ref="B20"/>
    <hyperlink display="Jackfruit " location="null!A1" ref="B21"/>
    <hyperlink display="Jamun" location="null!A1" ref="B22"/>
    <hyperlink display="Jamun" location="null!A1" ref="B23"/>
    <hyperlink display="Kamrakh" location="null!A1" ref="B24"/>
    <hyperlink display="Kamrakh " location="null!A1" ref="B25"/>
    <hyperlink display="karonda" location="null!A1" ref="B26"/>
    <hyperlink display="Karonda" location="null!A1" ref="B27"/>
    <hyperlink display="Kinnow " location="null!A1" ref="B28"/>
    <hyperlink display="Lemon" location="null!A1" ref="B29"/>
    <hyperlink display="Lemon" location="null!A1" ref="B30"/>
    <hyperlink display="Lemon" location="null!A1" ref="B31"/>
    <hyperlink display="Lime " location="null!A1" ref="B32"/>
    <hyperlink display="Lime" location="null!A1" ref="B33"/>
    <hyperlink display="Lime" location="null!A1" ref="B34"/>
    <hyperlink display="Lime" location="null!A1" ref="B35"/>
    <hyperlink display="Lime " location="null!A1" ref="B36"/>
    <hyperlink display="Mosambi" location="null!A1" ref="B37"/>
    <hyperlink display="Mosambi" location="null!A1" ref="B38"/>
    <hyperlink display="Mulberry" location="null!A1" ref="B39"/>
    <hyperlink display="Pomelo" location="null!A1" ref="B40"/>
    <hyperlink display="Pomelo" location="null!A1" ref="B41"/>
    <hyperlink display="Sitaphal " location="null!A1" ref="B42"/>
    <hyperlink display="Sitaphal " location="null!A1" ref="B43"/>
    <hyperlink display="Wax Apple" location="null!A1" ref="B44"/>
    <hyperlink display="Karonda" location="null!A1" ref="B45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4" max="4" width="17.13"/>
    <col customWidth="1" min="5" max="5" width="20.63"/>
    <col customWidth="1" min="7" max="7" width="13.63"/>
    <col customWidth="1" min="8" max="8" width="15.0"/>
    <col customWidth="1" min="9" max="9" width="14.0"/>
    <col customWidth="1" min="10" max="10" width="18.25"/>
    <col customWidth="1" min="11" max="11" width="12.88"/>
    <col customWidth="1" min="12" max="12" width="13.38"/>
    <col customWidth="1" min="13" max="13" width="14.13"/>
    <col customWidth="1" min="14" max="14" width="15.0"/>
    <col customWidth="1" min="15" max="15" width="14.13"/>
    <col customWidth="1" min="16" max="16" width="15.5"/>
  </cols>
  <sheetData>
    <row r="1">
      <c r="A1" s="46" t="str">
        <f>IFERROR(__xludf.DUMMYFUNCTION("IMPORTRANGE(""https://docs.google.com/spreadsheets/d/1bvsywgq76U9oZuL_ORSJ0nJV2EwvByA31-wRIAE9qu8/"",""C Master Sheet KHD!A1:Z"")"),"")</f>
        <v/>
      </c>
      <c r="B1" s="47"/>
      <c r="C1" s="46"/>
      <c r="D1" s="46" t="str">
        <f>IFERROR(__xludf.DUMMYFUNCTION("""COMPUTED_VALUE"""),"COMMERCIAL FRUIT CROPS VARIETY STOCK REPORT AT KOHADIA FARM 2022-23")</f>
        <v>COMMERCIAL FRUIT CROPS VARIETY STOCK REPORT AT KOHADIA FARM 2022-23</v>
      </c>
      <c r="E1" s="48"/>
      <c r="F1" s="49"/>
      <c r="G1" s="49"/>
      <c r="H1" s="49"/>
      <c r="I1" s="49"/>
      <c r="J1" s="50"/>
      <c r="K1" s="51" t="str">
        <f>IFERROR(__xludf.DUMMYFUNCTION("""COMPUTED_VALUE"""),"Availability")</f>
        <v>Availability</v>
      </c>
      <c r="L1" s="29"/>
      <c r="M1" s="29"/>
      <c r="N1" s="30"/>
      <c r="O1" s="19"/>
      <c r="P1" s="19"/>
      <c r="Q1" s="4" t="str">
        <f>IFERROR(__xludf.DUMMYFUNCTION("""COMPUTED_VALUE"""),"Unheathy Plants")</f>
        <v>Unheathy Plants</v>
      </c>
      <c r="R1" s="52"/>
      <c r="S1" s="52"/>
      <c r="T1" s="52"/>
      <c r="U1" s="52"/>
      <c r="V1" s="52"/>
      <c r="W1" s="52"/>
      <c r="X1" s="52"/>
    </row>
    <row r="2">
      <c r="A2" s="53" t="str">
        <f>IFERROR(__xludf.DUMMYFUNCTION("""COMPUTED_VALUE"""),"Id.")</f>
        <v>Id.</v>
      </c>
      <c r="B2" s="54" t="str">
        <f>IFERROR(__xludf.DUMMYFUNCTION("""COMPUTED_VALUE"""),"CROP")</f>
        <v>CROP</v>
      </c>
      <c r="C2" s="53" t="str">
        <f>IFERROR(__xludf.DUMMYFUNCTION("""COMPUTED_VALUE"""),"VARIETY")</f>
        <v>VARIETY</v>
      </c>
      <c r="D2" s="53" t="str">
        <f>IFERROR(__xludf.DUMMYFUNCTION("""COMPUTED_VALUE"""),"Propagation Method")</f>
        <v>Propagation Method</v>
      </c>
      <c r="E2" s="53" t="str">
        <f>IFERROR(__xludf.DUMMYFUNCTION("""COMPUTED_VALUE"""),"Scion + Rootstock")</f>
        <v>Scion + Rootstock</v>
      </c>
      <c r="F2" s="53" t="str">
        <f>IFERROR(__xludf.DUMMYFUNCTION("""COMPUTED_VALUE"""),"Opening Stock")</f>
        <v>Opening Stock</v>
      </c>
      <c r="G2" s="53" t="str">
        <f>IFERROR(__xludf.DUMMYFUNCTION("""COMPUTED_VALUE"""),"Recieved plants")</f>
        <v>Recieved plants</v>
      </c>
      <c r="H2" s="53" t="str">
        <f>IFERROR(__xludf.DUMMYFUNCTION("""COMPUTED_VALUE"""),"Dispatched plants")</f>
        <v>Dispatched plants</v>
      </c>
      <c r="I2" s="53" t="str">
        <f>IFERROR(__xludf.DUMMYFUNCTION("""COMPUTED_VALUE"""),"Damaged Plants")</f>
        <v>Damaged Plants</v>
      </c>
      <c r="J2" s="53" t="str">
        <f>IFERROR(__xludf.DUMMYFUNCTION("""COMPUTED_VALUE"""),"Total Available Plants")</f>
        <v>Total Available Plants</v>
      </c>
      <c r="K2" s="55" t="str">
        <f>IFERROR(__xludf.DUMMYFUNCTION("""COMPUTED_VALUE"""),"16- Apr to 30 - Apr")</f>
        <v>16- Apr to 30 - Apr</v>
      </c>
      <c r="L2" s="55" t="str">
        <f>IFERROR(__xludf.DUMMYFUNCTION("""COMPUTED_VALUE"""),"1-May To 15- May")</f>
        <v>1-May To 15- May</v>
      </c>
      <c r="M2" s="55" t="str">
        <f>IFERROR(__xludf.DUMMYFUNCTION("""COMPUTED_VALUE"""),"16-May To 30- May")</f>
        <v>16-May To 30- May</v>
      </c>
      <c r="N2" s="55" t="str">
        <f>IFERROR(__xludf.DUMMYFUNCTION("""COMPUTED_VALUE"""),"1-Jun  To 15- Jun")</f>
        <v>1-Jun  To 15- Jun</v>
      </c>
      <c r="O2" s="56" t="str">
        <f>IFERROR(__xludf.DUMMYFUNCTION("""COMPUTED_VALUE"""),"16-Jun  To 30- Jun")</f>
        <v>16-Jun  To 30- Jun</v>
      </c>
      <c r="P2" s="56" t="str">
        <f>IFERROR(__xludf.DUMMYFUNCTION("""COMPUTED_VALUE"""),"1-Jul To 15- Jul")</f>
        <v>1-Jul To 15- Jul</v>
      </c>
      <c r="Q2" s="1"/>
      <c r="R2" s="3"/>
      <c r="S2" s="3"/>
      <c r="T2" s="3"/>
      <c r="U2" s="3"/>
      <c r="V2" s="3"/>
      <c r="W2" s="3"/>
      <c r="X2" s="3"/>
    </row>
    <row r="3">
      <c r="A3" s="56">
        <f>IFERROR(__xludf.DUMMYFUNCTION("""COMPUTED_VALUE"""),1.0)</f>
        <v>1</v>
      </c>
      <c r="B3" s="57" t="str">
        <f>IFERROR(__xludf.DUMMYFUNCTION("""COMPUTED_VALUE"""),"Almond")</f>
        <v>Almond</v>
      </c>
      <c r="C3" s="56" t="str">
        <f>IFERROR(__xludf.DUMMYFUNCTION("""COMPUTED_VALUE"""),"VNR-141")</f>
        <v>VNR-141</v>
      </c>
      <c r="D3" s="19" t="str">
        <f>IFERROR(__xludf.DUMMYFUNCTION("""COMPUTED_VALUE"""),"Wedge Graft")</f>
        <v>Wedge Graft</v>
      </c>
      <c r="E3" s="19" t="str">
        <f>IFERROR(__xludf.DUMMYFUNCTION("""COMPUTED_VALUE"""),"Almond 141 + Almond")</f>
        <v>Almond 141 + Almond</v>
      </c>
      <c r="F3" s="58">
        <f>IFERROR(__xludf.DUMMYFUNCTION("""COMPUTED_VALUE"""),321.0)</f>
        <v>321</v>
      </c>
      <c r="G3" s="58">
        <f>IFERROR(__xludf.DUMMYFUNCTION("""COMPUTED_VALUE"""),0.0)</f>
        <v>0</v>
      </c>
      <c r="H3" s="58">
        <f>IFERROR(__xludf.DUMMYFUNCTION("""COMPUTED_VALUE"""),0.0)</f>
        <v>0</v>
      </c>
      <c r="I3" s="58">
        <f>IFERROR(__xludf.DUMMYFUNCTION("""COMPUTED_VALUE"""),0.0)</f>
        <v>0</v>
      </c>
      <c r="J3" s="58">
        <f>IFERROR(__xludf.DUMMYFUNCTION("""COMPUTED_VALUE"""),321.0)</f>
        <v>321</v>
      </c>
      <c r="K3" s="19">
        <f>IFERROR(__xludf.DUMMYFUNCTION("""COMPUTED_VALUE"""),293.0)</f>
        <v>293</v>
      </c>
      <c r="L3" s="19">
        <f>IFERROR(__xludf.DUMMYFUNCTION("""COMPUTED_VALUE"""),28.0)</f>
        <v>28</v>
      </c>
      <c r="M3" s="19">
        <f>IFERROR(__xludf.DUMMYFUNCTION("""COMPUTED_VALUE"""),0.0)</f>
        <v>0</v>
      </c>
      <c r="N3" s="19">
        <f>IFERROR(__xludf.DUMMYFUNCTION("""COMPUTED_VALUE"""),0.0)</f>
        <v>0</v>
      </c>
      <c r="O3" s="19">
        <f>IFERROR(__xludf.DUMMYFUNCTION("""COMPUTED_VALUE"""),0.0)</f>
        <v>0</v>
      </c>
      <c r="P3" s="19">
        <f>IFERROR(__xludf.DUMMYFUNCTION("""COMPUTED_VALUE"""),0.0)</f>
        <v>0</v>
      </c>
      <c r="Q3" s="4">
        <f>IFERROR(__xludf.DUMMYFUNCTION("""COMPUTED_VALUE"""),0.0)</f>
        <v>0</v>
      </c>
      <c r="R3" s="52"/>
      <c r="S3" s="52"/>
      <c r="T3" s="52"/>
      <c r="U3" s="52"/>
      <c r="V3" s="52"/>
      <c r="W3" s="52"/>
      <c r="X3" s="52"/>
    </row>
    <row r="4">
      <c r="A4" s="56">
        <f>IFERROR(__xludf.DUMMYFUNCTION("""COMPUTED_VALUE"""),2.0)</f>
        <v>2</v>
      </c>
      <c r="B4" s="57" t="str">
        <f>IFERROR(__xludf.DUMMYFUNCTION("""COMPUTED_VALUE"""),"Aonla")</f>
        <v>Aonla</v>
      </c>
      <c r="C4" s="56" t="str">
        <f>IFERROR(__xludf.DUMMYFUNCTION("""COMPUTED_VALUE"""),"Krishna")</f>
        <v>Krishna</v>
      </c>
      <c r="D4" s="19" t="str">
        <f>IFERROR(__xludf.DUMMYFUNCTION("""COMPUTED_VALUE"""),"Wedge Graft")</f>
        <v>Wedge Graft</v>
      </c>
      <c r="E4" s="19"/>
      <c r="F4" s="58">
        <f>IFERROR(__xludf.DUMMYFUNCTION("""COMPUTED_VALUE"""),175.0)</f>
        <v>175</v>
      </c>
      <c r="G4" s="58">
        <f>IFERROR(__xludf.DUMMYFUNCTION("""COMPUTED_VALUE"""),0.0)</f>
        <v>0</v>
      </c>
      <c r="H4" s="58">
        <f>IFERROR(__xludf.DUMMYFUNCTION("""COMPUTED_VALUE"""),2.0)</f>
        <v>2</v>
      </c>
      <c r="I4" s="58">
        <f>IFERROR(__xludf.DUMMYFUNCTION("""COMPUTED_VALUE"""),0.0)</f>
        <v>0</v>
      </c>
      <c r="J4" s="58">
        <f>IFERROR(__xludf.DUMMYFUNCTION("""COMPUTED_VALUE"""),173.0)</f>
        <v>173</v>
      </c>
      <c r="K4" s="19">
        <f>IFERROR(__xludf.DUMMYFUNCTION("""COMPUTED_VALUE"""),98.0)</f>
        <v>98</v>
      </c>
      <c r="L4" s="19">
        <f>IFERROR(__xludf.DUMMYFUNCTION("""COMPUTED_VALUE"""),75.0)</f>
        <v>75</v>
      </c>
      <c r="M4" s="19">
        <f>IFERROR(__xludf.DUMMYFUNCTION("""COMPUTED_VALUE"""),0.0)</f>
        <v>0</v>
      </c>
      <c r="N4" s="19">
        <f>IFERROR(__xludf.DUMMYFUNCTION("""COMPUTED_VALUE"""),0.0)</f>
        <v>0</v>
      </c>
      <c r="O4" s="19">
        <f>IFERROR(__xludf.DUMMYFUNCTION("""COMPUTED_VALUE"""),0.0)</f>
        <v>0</v>
      </c>
      <c r="P4" s="19">
        <f>IFERROR(__xludf.DUMMYFUNCTION("""COMPUTED_VALUE"""),0.0)</f>
        <v>0</v>
      </c>
      <c r="Q4" s="4">
        <f>IFERROR(__xludf.DUMMYFUNCTION("""COMPUTED_VALUE"""),0.0)</f>
        <v>0</v>
      </c>
      <c r="R4" s="52"/>
      <c r="S4" s="52"/>
      <c r="T4" s="52"/>
      <c r="U4" s="52"/>
      <c r="V4" s="52"/>
      <c r="W4" s="52"/>
      <c r="X4" s="52"/>
    </row>
    <row r="5">
      <c r="A5" s="56">
        <f>IFERROR(__xludf.DUMMYFUNCTION("""COMPUTED_VALUE"""),3.0)</f>
        <v>3</v>
      </c>
      <c r="B5" s="57" t="str">
        <f>IFERROR(__xludf.DUMMYFUNCTION("""COMPUTED_VALUE"""),"Bael")</f>
        <v>Bael</v>
      </c>
      <c r="C5" s="56" t="str">
        <f>IFERROR(__xludf.DUMMYFUNCTION("""COMPUTED_VALUE"""),"B-1 CISH")</f>
        <v>B-1 CISH</v>
      </c>
      <c r="D5" s="19" t="str">
        <f>IFERROR(__xludf.DUMMYFUNCTION("""COMPUTED_VALUE"""),"Wedge Graft")</f>
        <v>Wedge Graft</v>
      </c>
      <c r="E5" s="19" t="str">
        <f>IFERROR(__xludf.DUMMYFUNCTION("""COMPUTED_VALUE"""),"Bael B-1 CISH + Bael")</f>
        <v>Bael B-1 CISH + Bael</v>
      </c>
      <c r="F5" s="58">
        <f>IFERROR(__xludf.DUMMYFUNCTION("""COMPUTED_VALUE"""),18.0)</f>
        <v>18</v>
      </c>
      <c r="G5" s="58">
        <f>IFERROR(__xludf.DUMMYFUNCTION("""COMPUTED_VALUE"""),0.0)</f>
        <v>0</v>
      </c>
      <c r="H5" s="58">
        <f>IFERROR(__xludf.DUMMYFUNCTION("""COMPUTED_VALUE"""),0.0)</f>
        <v>0</v>
      </c>
      <c r="I5" s="58">
        <f>IFERROR(__xludf.DUMMYFUNCTION("""COMPUTED_VALUE"""),0.0)</f>
        <v>0</v>
      </c>
      <c r="J5" s="58">
        <f>IFERROR(__xludf.DUMMYFUNCTION("""COMPUTED_VALUE"""),18.0)</f>
        <v>18</v>
      </c>
      <c r="K5" s="19">
        <f>IFERROR(__xludf.DUMMYFUNCTION("""COMPUTED_VALUE"""),18.0)</f>
        <v>18</v>
      </c>
      <c r="L5" s="19">
        <f>IFERROR(__xludf.DUMMYFUNCTION("""COMPUTED_VALUE"""),0.0)</f>
        <v>0</v>
      </c>
      <c r="M5" s="19">
        <f>IFERROR(__xludf.DUMMYFUNCTION("""COMPUTED_VALUE"""),0.0)</f>
        <v>0</v>
      </c>
      <c r="N5" s="19">
        <f>IFERROR(__xludf.DUMMYFUNCTION("""COMPUTED_VALUE"""),0.0)</f>
        <v>0</v>
      </c>
      <c r="O5" s="19">
        <f>IFERROR(__xludf.DUMMYFUNCTION("""COMPUTED_VALUE"""),0.0)</f>
        <v>0</v>
      </c>
      <c r="P5" s="19">
        <f>IFERROR(__xludf.DUMMYFUNCTION("""COMPUTED_VALUE"""),0.0)</f>
        <v>0</v>
      </c>
      <c r="Q5" s="4">
        <f>IFERROR(__xludf.DUMMYFUNCTION("""COMPUTED_VALUE"""),0.0)</f>
        <v>0</v>
      </c>
      <c r="R5" s="52"/>
      <c r="S5" s="52"/>
      <c r="T5" s="52"/>
      <c r="U5" s="52"/>
      <c r="V5" s="52"/>
      <c r="W5" s="52"/>
      <c r="X5" s="52"/>
    </row>
    <row r="6">
      <c r="A6" s="56">
        <f>IFERROR(__xludf.DUMMYFUNCTION("""COMPUTED_VALUE"""),4.0)</f>
        <v>4</v>
      </c>
      <c r="B6" s="57" t="str">
        <f>IFERROR(__xludf.DUMMYFUNCTION("""COMPUTED_VALUE"""),"Bael")</f>
        <v>Bael</v>
      </c>
      <c r="C6" s="56" t="str">
        <f>IFERROR(__xludf.DUMMYFUNCTION("""COMPUTED_VALUE"""),"Gomayashi")</f>
        <v>Gomayashi</v>
      </c>
      <c r="D6" s="19" t="str">
        <f>IFERROR(__xludf.DUMMYFUNCTION("""COMPUTED_VALUE"""),"Wedge Graft")</f>
        <v>Wedge Graft</v>
      </c>
      <c r="E6" s="19" t="str">
        <f>IFERROR(__xludf.DUMMYFUNCTION("""COMPUTED_VALUE"""),"Bael Gomayashi + Bael")</f>
        <v>Bael Gomayashi + Bael</v>
      </c>
      <c r="F6" s="58">
        <f>IFERROR(__xludf.DUMMYFUNCTION("""COMPUTED_VALUE"""),1800.0)</f>
        <v>1800</v>
      </c>
      <c r="G6" s="58">
        <f>IFERROR(__xludf.DUMMYFUNCTION("""COMPUTED_VALUE"""),0.0)</f>
        <v>0</v>
      </c>
      <c r="H6" s="58">
        <f>IFERROR(__xludf.DUMMYFUNCTION("""COMPUTED_VALUE"""),33.0)</f>
        <v>33</v>
      </c>
      <c r="I6" s="58">
        <f>IFERROR(__xludf.DUMMYFUNCTION("""COMPUTED_VALUE"""),0.0)</f>
        <v>0</v>
      </c>
      <c r="J6" s="58">
        <f>IFERROR(__xludf.DUMMYFUNCTION("""COMPUTED_VALUE"""),1767.0)</f>
        <v>1767</v>
      </c>
      <c r="K6" s="19">
        <f>IFERROR(__xludf.DUMMYFUNCTION("""COMPUTED_VALUE"""),967.0)</f>
        <v>967</v>
      </c>
      <c r="L6" s="19">
        <f>IFERROR(__xludf.DUMMYFUNCTION("""COMPUTED_VALUE"""),500.0)</f>
        <v>500</v>
      </c>
      <c r="M6" s="19">
        <f>IFERROR(__xludf.DUMMYFUNCTION("""COMPUTED_VALUE"""),250.0)</f>
        <v>250</v>
      </c>
      <c r="N6" s="19">
        <f>IFERROR(__xludf.DUMMYFUNCTION("""COMPUTED_VALUE"""),0.0)</f>
        <v>0</v>
      </c>
      <c r="O6" s="19">
        <f>IFERROR(__xludf.DUMMYFUNCTION("""COMPUTED_VALUE"""),0.0)</f>
        <v>0</v>
      </c>
      <c r="P6" s="19">
        <f>IFERROR(__xludf.DUMMYFUNCTION("""COMPUTED_VALUE"""),0.0)</f>
        <v>0</v>
      </c>
      <c r="Q6" s="4">
        <f>IFERROR(__xludf.DUMMYFUNCTION("""COMPUTED_VALUE"""),50.0)</f>
        <v>50</v>
      </c>
      <c r="R6" s="52"/>
      <c r="S6" s="52"/>
      <c r="T6" s="52"/>
      <c r="U6" s="52"/>
      <c r="V6" s="52"/>
      <c r="W6" s="52"/>
      <c r="X6" s="52"/>
    </row>
    <row r="7">
      <c r="A7" s="56">
        <f>IFERROR(__xludf.DUMMYFUNCTION("""COMPUTED_VALUE"""),5.0)</f>
        <v>5</v>
      </c>
      <c r="B7" s="57" t="str">
        <f>IFERROR(__xludf.DUMMYFUNCTION("""COMPUTED_VALUE"""),"Bael")</f>
        <v>Bael</v>
      </c>
      <c r="C7" s="56" t="str">
        <f>IFERROR(__xludf.DUMMYFUNCTION("""COMPUTED_VALUE"""),"NB-7")</f>
        <v>NB-7</v>
      </c>
      <c r="D7" s="19" t="str">
        <f>IFERROR(__xludf.DUMMYFUNCTION("""COMPUTED_VALUE"""),"Wedge Graft")</f>
        <v>Wedge Graft</v>
      </c>
      <c r="E7" s="19" t="str">
        <f>IFERROR(__xludf.DUMMYFUNCTION("""COMPUTED_VALUE"""),"Bael NB-7 + Bael")</f>
        <v>Bael NB-7 + Bael</v>
      </c>
      <c r="F7" s="58">
        <f>IFERROR(__xludf.DUMMYFUNCTION("""COMPUTED_VALUE"""),48.0)</f>
        <v>48</v>
      </c>
      <c r="G7" s="58">
        <f>IFERROR(__xludf.DUMMYFUNCTION("""COMPUTED_VALUE"""),0.0)</f>
        <v>0</v>
      </c>
      <c r="H7" s="58">
        <f>IFERROR(__xludf.DUMMYFUNCTION("""COMPUTED_VALUE"""),0.0)</f>
        <v>0</v>
      </c>
      <c r="I7" s="58">
        <f>IFERROR(__xludf.DUMMYFUNCTION("""COMPUTED_VALUE"""),0.0)</f>
        <v>0</v>
      </c>
      <c r="J7" s="58">
        <f>IFERROR(__xludf.DUMMYFUNCTION("""COMPUTED_VALUE"""),48.0)</f>
        <v>48</v>
      </c>
      <c r="K7" s="19">
        <f>IFERROR(__xludf.DUMMYFUNCTION("""COMPUTED_VALUE"""),48.0)</f>
        <v>48</v>
      </c>
      <c r="L7" s="19">
        <f>IFERROR(__xludf.DUMMYFUNCTION("""COMPUTED_VALUE"""),0.0)</f>
        <v>0</v>
      </c>
      <c r="M7" s="19">
        <f>IFERROR(__xludf.DUMMYFUNCTION("""COMPUTED_VALUE"""),0.0)</f>
        <v>0</v>
      </c>
      <c r="N7" s="19">
        <f>IFERROR(__xludf.DUMMYFUNCTION("""COMPUTED_VALUE"""),0.0)</f>
        <v>0</v>
      </c>
      <c r="O7" s="19">
        <f>IFERROR(__xludf.DUMMYFUNCTION("""COMPUTED_VALUE"""),0.0)</f>
        <v>0</v>
      </c>
      <c r="P7" s="19">
        <f>IFERROR(__xludf.DUMMYFUNCTION("""COMPUTED_VALUE"""),0.0)</f>
        <v>0</v>
      </c>
      <c r="Q7" s="4">
        <f>IFERROR(__xludf.DUMMYFUNCTION("""COMPUTED_VALUE"""),0.0)</f>
        <v>0</v>
      </c>
      <c r="R7" s="52"/>
      <c r="S7" s="52"/>
      <c r="T7" s="52"/>
      <c r="U7" s="52"/>
      <c r="V7" s="52"/>
      <c r="W7" s="52"/>
      <c r="X7" s="52"/>
    </row>
    <row r="8">
      <c r="A8" s="56">
        <f>IFERROR(__xludf.DUMMYFUNCTION("""COMPUTED_VALUE"""),6.0)</f>
        <v>6</v>
      </c>
      <c r="B8" s="57" t="str">
        <f>IFERROR(__xludf.DUMMYFUNCTION("""COMPUTED_VALUE"""),"Bael")</f>
        <v>Bael</v>
      </c>
      <c r="C8" s="56" t="str">
        <f>IFERROR(__xludf.DUMMYFUNCTION("""COMPUTED_VALUE"""),"NB-9")</f>
        <v>NB-9</v>
      </c>
      <c r="D8" s="19" t="str">
        <f>IFERROR(__xludf.DUMMYFUNCTION("""COMPUTED_VALUE"""),"Wedge Graft")</f>
        <v>Wedge Graft</v>
      </c>
      <c r="E8" s="19" t="str">
        <f>IFERROR(__xludf.DUMMYFUNCTION("""COMPUTED_VALUE"""),"Bael NB-9 + Bael")</f>
        <v>Bael NB-9 + Bael</v>
      </c>
      <c r="F8" s="58">
        <f>IFERROR(__xludf.DUMMYFUNCTION("""COMPUTED_VALUE"""),7.0)</f>
        <v>7</v>
      </c>
      <c r="G8" s="58">
        <f>IFERROR(__xludf.DUMMYFUNCTION("""COMPUTED_VALUE"""),0.0)</f>
        <v>0</v>
      </c>
      <c r="H8" s="58">
        <f>IFERROR(__xludf.DUMMYFUNCTION("""COMPUTED_VALUE"""),0.0)</f>
        <v>0</v>
      </c>
      <c r="I8" s="58">
        <f>IFERROR(__xludf.DUMMYFUNCTION("""COMPUTED_VALUE"""),0.0)</f>
        <v>0</v>
      </c>
      <c r="J8" s="58">
        <f>IFERROR(__xludf.DUMMYFUNCTION("""COMPUTED_VALUE"""),7.0)</f>
        <v>7</v>
      </c>
      <c r="K8" s="19">
        <f>IFERROR(__xludf.DUMMYFUNCTION("""COMPUTED_VALUE"""),7.0)</f>
        <v>7</v>
      </c>
      <c r="L8" s="19">
        <f>IFERROR(__xludf.DUMMYFUNCTION("""COMPUTED_VALUE"""),0.0)</f>
        <v>0</v>
      </c>
      <c r="M8" s="19">
        <f>IFERROR(__xludf.DUMMYFUNCTION("""COMPUTED_VALUE"""),0.0)</f>
        <v>0</v>
      </c>
      <c r="N8" s="19">
        <f>IFERROR(__xludf.DUMMYFUNCTION("""COMPUTED_VALUE"""),0.0)</f>
        <v>0</v>
      </c>
      <c r="O8" s="19">
        <f>IFERROR(__xludf.DUMMYFUNCTION("""COMPUTED_VALUE"""),0.0)</f>
        <v>0</v>
      </c>
      <c r="P8" s="19">
        <f>IFERROR(__xludf.DUMMYFUNCTION("""COMPUTED_VALUE"""),0.0)</f>
        <v>0</v>
      </c>
      <c r="Q8" s="4">
        <f>IFERROR(__xludf.DUMMYFUNCTION("""COMPUTED_VALUE"""),0.0)</f>
        <v>0</v>
      </c>
      <c r="R8" s="52"/>
      <c r="S8" s="52"/>
      <c r="T8" s="52"/>
      <c r="U8" s="52"/>
      <c r="V8" s="52"/>
      <c r="W8" s="52"/>
      <c r="X8" s="52"/>
    </row>
    <row r="9">
      <c r="A9" s="56">
        <f>IFERROR(__xludf.DUMMYFUNCTION("""COMPUTED_VALUE"""),7.0)</f>
        <v>7</v>
      </c>
      <c r="B9" s="57" t="str">
        <f>IFERROR(__xludf.DUMMYFUNCTION("""COMPUTED_VALUE"""),"Ber")</f>
        <v>Ber</v>
      </c>
      <c r="C9" s="56" t="str">
        <f>IFERROR(__xludf.DUMMYFUNCTION("""COMPUTED_VALUE"""),"Apple")</f>
        <v>Apple</v>
      </c>
      <c r="D9" s="19" t="str">
        <f>IFERROR(__xludf.DUMMYFUNCTION("""COMPUTED_VALUE"""),"Wedge Graft")</f>
        <v>Wedge Graft</v>
      </c>
      <c r="E9" s="19" t="str">
        <f>IFERROR(__xludf.DUMMYFUNCTION("""COMPUTED_VALUE"""),"Apple Ber + Ber")</f>
        <v>Apple Ber + Ber</v>
      </c>
      <c r="F9" s="58">
        <f>IFERROR(__xludf.DUMMYFUNCTION("""COMPUTED_VALUE"""),95.0)</f>
        <v>95</v>
      </c>
      <c r="G9" s="58">
        <f>IFERROR(__xludf.DUMMYFUNCTION("""COMPUTED_VALUE"""),960.0)</f>
        <v>960</v>
      </c>
      <c r="H9" s="58">
        <f>IFERROR(__xludf.DUMMYFUNCTION("""COMPUTED_VALUE"""),2.0)</f>
        <v>2</v>
      </c>
      <c r="I9" s="58">
        <f>IFERROR(__xludf.DUMMYFUNCTION("""COMPUTED_VALUE"""),0.0)</f>
        <v>0</v>
      </c>
      <c r="J9" s="58">
        <f>IFERROR(__xludf.DUMMYFUNCTION("""COMPUTED_VALUE"""),1053.0)</f>
        <v>1053</v>
      </c>
      <c r="K9" s="19">
        <f>IFERROR(__xludf.DUMMYFUNCTION("""COMPUTED_VALUE"""),1038.0)</f>
        <v>1038</v>
      </c>
      <c r="L9" s="19">
        <f>IFERROR(__xludf.DUMMYFUNCTION("""COMPUTED_VALUE"""),10.0)</f>
        <v>10</v>
      </c>
      <c r="M9" s="19">
        <f>IFERROR(__xludf.DUMMYFUNCTION("""COMPUTED_VALUE"""),0.0)</f>
        <v>0</v>
      </c>
      <c r="N9" s="19">
        <f>IFERROR(__xludf.DUMMYFUNCTION("""COMPUTED_VALUE"""),0.0)</f>
        <v>0</v>
      </c>
      <c r="O9" s="19">
        <f>IFERROR(__xludf.DUMMYFUNCTION("""COMPUTED_VALUE"""),0.0)</f>
        <v>0</v>
      </c>
      <c r="P9" s="19">
        <f>IFERROR(__xludf.DUMMYFUNCTION("""COMPUTED_VALUE"""),0.0)</f>
        <v>0</v>
      </c>
      <c r="Q9" s="4">
        <f>IFERROR(__xludf.DUMMYFUNCTION("""COMPUTED_VALUE"""),5.0)</f>
        <v>5</v>
      </c>
      <c r="R9" s="52"/>
      <c r="S9" s="52"/>
      <c r="T9" s="52"/>
      <c r="U9" s="52"/>
      <c r="V9" s="52"/>
      <c r="W9" s="52"/>
      <c r="X9" s="52"/>
    </row>
    <row r="10">
      <c r="A10" s="56">
        <f>IFERROR(__xludf.DUMMYFUNCTION("""COMPUTED_VALUE"""),8.0)</f>
        <v>8</v>
      </c>
      <c r="B10" s="57" t="str">
        <f>IFERROR(__xludf.DUMMYFUNCTION("""COMPUTED_VALUE"""),"Curry Leaf")</f>
        <v>Curry Leaf</v>
      </c>
      <c r="C10" s="56" t="str">
        <f>IFERROR(__xludf.DUMMYFUNCTION("""COMPUTED_VALUE"""),"DWD-2")</f>
        <v>DWD-2</v>
      </c>
      <c r="D10" s="19" t="str">
        <f>IFERROR(__xludf.DUMMYFUNCTION("""COMPUTED_VALUE"""),"Cutting")</f>
        <v>Cutting</v>
      </c>
      <c r="E10" s="19" t="str">
        <f>IFERROR(__xludf.DUMMYFUNCTION("""COMPUTED_VALUE"""),"-")</f>
        <v>-</v>
      </c>
      <c r="F10" s="58">
        <f>IFERROR(__xludf.DUMMYFUNCTION("""COMPUTED_VALUE"""),1020.0)</f>
        <v>1020</v>
      </c>
      <c r="G10" s="58">
        <f>IFERROR(__xludf.DUMMYFUNCTION("""COMPUTED_VALUE"""),0.0)</f>
        <v>0</v>
      </c>
      <c r="H10" s="58">
        <f>IFERROR(__xludf.DUMMYFUNCTION("""COMPUTED_VALUE"""),2.0)</f>
        <v>2</v>
      </c>
      <c r="I10" s="58">
        <f>IFERROR(__xludf.DUMMYFUNCTION("""COMPUTED_VALUE"""),0.0)</f>
        <v>0</v>
      </c>
      <c r="J10" s="58">
        <f>IFERROR(__xludf.DUMMYFUNCTION("""COMPUTED_VALUE"""),1018.0)</f>
        <v>1018</v>
      </c>
      <c r="K10" s="19">
        <f>IFERROR(__xludf.DUMMYFUNCTION("""COMPUTED_VALUE"""),798.0)</f>
        <v>798</v>
      </c>
      <c r="L10" s="19">
        <f>IFERROR(__xludf.DUMMYFUNCTION("""COMPUTED_VALUE"""),200.0)</f>
        <v>200</v>
      </c>
      <c r="M10" s="19">
        <f>IFERROR(__xludf.DUMMYFUNCTION("""COMPUTED_VALUE"""),0.0)</f>
        <v>0</v>
      </c>
      <c r="N10" s="19">
        <f>IFERROR(__xludf.DUMMYFUNCTION("""COMPUTED_VALUE"""),0.0)</f>
        <v>0</v>
      </c>
      <c r="O10" s="19">
        <f>IFERROR(__xludf.DUMMYFUNCTION("""COMPUTED_VALUE"""),0.0)</f>
        <v>0</v>
      </c>
      <c r="P10" s="19">
        <f>IFERROR(__xludf.DUMMYFUNCTION("""COMPUTED_VALUE"""),0.0)</f>
        <v>0</v>
      </c>
      <c r="Q10" s="4">
        <f>IFERROR(__xludf.DUMMYFUNCTION("""COMPUTED_VALUE"""),20.0)</f>
        <v>20</v>
      </c>
      <c r="R10" s="52"/>
      <c r="S10" s="52"/>
      <c r="T10" s="52"/>
      <c r="U10" s="52"/>
      <c r="V10" s="52"/>
      <c r="W10" s="52"/>
      <c r="X10" s="52"/>
    </row>
    <row r="11">
      <c r="A11" s="56">
        <f>IFERROR(__xludf.DUMMYFUNCTION("""COMPUTED_VALUE"""),9.0)</f>
        <v>9</v>
      </c>
      <c r="B11" s="57" t="str">
        <f>IFERROR(__xludf.DUMMYFUNCTION("""COMPUTED_VALUE"""),"Dragon Fruit")</f>
        <v>Dragon Fruit</v>
      </c>
      <c r="C11" s="56" t="str">
        <f>IFERROR(__xludf.DUMMYFUNCTION("""COMPUTED_VALUE"""),"Red")</f>
        <v>Red</v>
      </c>
      <c r="D11" s="19" t="str">
        <f>IFERROR(__xludf.DUMMYFUNCTION("""COMPUTED_VALUE"""),"Cutting")</f>
        <v>Cutting</v>
      </c>
      <c r="E11" s="19" t="str">
        <f>IFERROR(__xludf.DUMMYFUNCTION("""COMPUTED_VALUE"""),"-")</f>
        <v>-</v>
      </c>
      <c r="F11" s="58">
        <f>IFERROR(__xludf.DUMMYFUNCTION("""COMPUTED_VALUE"""),11598.0)</f>
        <v>11598</v>
      </c>
      <c r="G11" s="58">
        <f>IFERROR(__xludf.DUMMYFUNCTION("""COMPUTED_VALUE"""),0.0)</f>
        <v>0</v>
      </c>
      <c r="H11" s="58">
        <f>IFERROR(__xludf.DUMMYFUNCTION("""COMPUTED_VALUE"""),2.0)</f>
        <v>2</v>
      </c>
      <c r="I11" s="58">
        <f>IFERROR(__xludf.DUMMYFUNCTION("""COMPUTED_VALUE"""),0.0)</f>
        <v>0</v>
      </c>
      <c r="J11" s="58">
        <f>IFERROR(__xludf.DUMMYFUNCTION("""COMPUTED_VALUE"""),11596.0)</f>
        <v>11596</v>
      </c>
      <c r="K11" s="19">
        <f>IFERROR(__xludf.DUMMYFUNCTION("""COMPUTED_VALUE"""),7998.0)</f>
        <v>7998</v>
      </c>
      <c r="L11" s="19">
        <f>IFERROR(__xludf.DUMMYFUNCTION("""COMPUTED_VALUE"""),3000.0)</f>
        <v>3000</v>
      </c>
      <c r="M11" s="19">
        <f>IFERROR(__xludf.DUMMYFUNCTION("""COMPUTED_VALUE"""),598.0)</f>
        <v>598</v>
      </c>
      <c r="N11" s="19">
        <f>IFERROR(__xludf.DUMMYFUNCTION("""COMPUTED_VALUE"""),0.0)</f>
        <v>0</v>
      </c>
      <c r="O11" s="19">
        <f>IFERROR(__xludf.DUMMYFUNCTION("""COMPUTED_VALUE"""),0.0)</f>
        <v>0</v>
      </c>
      <c r="P11" s="19">
        <f>IFERROR(__xludf.DUMMYFUNCTION("""COMPUTED_VALUE"""),0.0)</f>
        <v>0</v>
      </c>
      <c r="Q11" s="4">
        <f>IFERROR(__xludf.DUMMYFUNCTION("""COMPUTED_VALUE"""),0.0)</f>
        <v>0</v>
      </c>
      <c r="R11" s="52"/>
      <c r="S11" s="52"/>
      <c r="T11" s="52"/>
      <c r="U11" s="52"/>
      <c r="V11" s="52"/>
      <c r="W11" s="52"/>
      <c r="X11" s="52"/>
    </row>
    <row r="12">
      <c r="A12" s="56">
        <f>IFERROR(__xludf.DUMMYFUNCTION("""COMPUTED_VALUE"""),10.0)</f>
        <v>10</v>
      </c>
      <c r="B12" s="57" t="str">
        <f>IFERROR(__xludf.DUMMYFUNCTION("""COMPUTED_VALUE"""),"Dragon Fruit")</f>
        <v>Dragon Fruit</v>
      </c>
      <c r="C12" s="56" t="str">
        <f>IFERROR(__xludf.DUMMYFUNCTION("""COMPUTED_VALUE"""),"White")</f>
        <v>White</v>
      </c>
      <c r="D12" s="19" t="str">
        <f>IFERROR(__xludf.DUMMYFUNCTION("""COMPUTED_VALUE"""),"Cutting")</f>
        <v>Cutting</v>
      </c>
      <c r="E12" s="19" t="str">
        <f>IFERROR(__xludf.DUMMYFUNCTION("""COMPUTED_VALUE"""),"-")</f>
        <v>-</v>
      </c>
      <c r="F12" s="58">
        <f>IFERROR(__xludf.DUMMYFUNCTION("""COMPUTED_VALUE"""),298.0)</f>
        <v>298</v>
      </c>
      <c r="G12" s="58">
        <f>IFERROR(__xludf.DUMMYFUNCTION("""COMPUTED_VALUE"""),0.0)</f>
        <v>0</v>
      </c>
      <c r="H12" s="58">
        <f>IFERROR(__xludf.DUMMYFUNCTION("""COMPUTED_VALUE"""),2.0)</f>
        <v>2</v>
      </c>
      <c r="I12" s="58">
        <f>IFERROR(__xludf.DUMMYFUNCTION("""COMPUTED_VALUE"""),0.0)</f>
        <v>0</v>
      </c>
      <c r="J12" s="58">
        <f>IFERROR(__xludf.DUMMYFUNCTION("""COMPUTED_VALUE"""),296.0)</f>
        <v>296</v>
      </c>
      <c r="K12" s="19">
        <f>IFERROR(__xludf.DUMMYFUNCTION("""COMPUTED_VALUE"""),178.0)</f>
        <v>178</v>
      </c>
      <c r="L12" s="19">
        <f>IFERROR(__xludf.DUMMYFUNCTION("""COMPUTED_VALUE"""),100.0)</f>
        <v>100</v>
      </c>
      <c r="M12" s="19">
        <f>IFERROR(__xludf.DUMMYFUNCTION("""COMPUTED_VALUE"""),0.0)</f>
        <v>0</v>
      </c>
      <c r="N12" s="19">
        <f>IFERROR(__xludf.DUMMYFUNCTION("""COMPUTED_VALUE"""),0.0)</f>
        <v>0</v>
      </c>
      <c r="O12" s="19">
        <f>IFERROR(__xludf.DUMMYFUNCTION("""COMPUTED_VALUE"""),0.0)</f>
        <v>0</v>
      </c>
      <c r="P12" s="19">
        <f>IFERROR(__xludf.DUMMYFUNCTION("""COMPUTED_VALUE"""),0.0)</f>
        <v>0</v>
      </c>
      <c r="Q12" s="4">
        <f>IFERROR(__xludf.DUMMYFUNCTION("""COMPUTED_VALUE"""),18.0)</f>
        <v>18</v>
      </c>
      <c r="R12" s="52"/>
      <c r="S12" s="52"/>
      <c r="T12" s="52"/>
      <c r="U12" s="52"/>
      <c r="V12" s="52"/>
      <c r="W12" s="52"/>
      <c r="X12" s="52"/>
    </row>
    <row r="13">
      <c r="A13" s="56">
        <f>IFERROR(__xludf.DUMMYFUNCTION("""COMPUTED_VALUE"""),11.0)</f>
        <v>11</v>
      </c>
      <c r="B13" s="57" t="str">
        <f>IFERROR(__xludf.DUMMYFUNCTION("""COMPUTED_VALUE"""),"Drum Stick")</f>
        <v>Drum Stick</v>
      </c>
      <c r="C13" s="56" t="str">
        <f>IFERROR(__xludf.DUMMYFUNCTION("""COMPUTED_VALUE"""),"VNR Moringa")</f>
        <v>VNR Moringa</v>
      </c>
      <c r="D13" s="19" t="str">
        <f>IFERROR(__xludf.DUMMYFUNCTION("""COMPUTED_VALUE"""),"Cutting")</f>
        <v>Cutting</v>
      </c>
      <c r="E13" s="19" t="str">
        <f>IFERROR(__xludf.DUMMYFUNCTION("""COMPUTED_VALUE"""),"-")</f>
        <v>-</v>
      </c>
      <c r="F13" s="58">
        <f>IFERROR(__xludf.DUMMYFUNCTION("""COMPUTED_VALUE"""),0.0)</f>
        <v>0</v>
      </c>
      <c r="G13" s="58">
        <f>IFERROR(__xludf.DUMMYFUNCTION("""COMPUTED_VALUE"""),0.0)</f>
        <v>0</v>
      </c>
      <c r="H13" s="58">
        <f>IFERROR(__xludf.DUMMYFUNCTION("""COMPUTED_VALUE"""),0.0)</f>
        <v>0</v>
      </c>
      <c r="I13" s="58">
        <f>IFERROR(__xludf.DUMMYFUNCTION("""COMPUTED_VALUE"""),0.0)</f>
        <v>0</v>
      </c>
      <c r="J13" s="58">
        <f>IFERROR(__xludf.DUMMYFUNCTION("""COMPUTED_VALUE"""),0.0)</f>
        <v>0</v>
      </c>
      <c r="K13" s="19">
        <f>IFERROR(__xludf.DUMMYFUNCTION("""COMPUTED_VALUE"""),0.0)</f>
        <v>0</v>
      </c>
      <c r="L13" s="19">
        <f>IFERROR(__xludf.DUMMYFUNCTION("""COMPUTED_VALUE"""),0.0)</f>
        <v>0</v>
      </c>
      <c r="M13" s="19">
        <f>IFERROR(__xludf.DUMMYFUNCTION("""COMPUTED_VALUE"""),0.0)</f>
        <v>0</v>
      </c>
      <c r="N13" s="19">
        <f>IFERROR(__xludf.DUMMYFUNCTION("""COMPUTED_VALUE"""),0.0)</f>
        <v>0</v>
      </c>
      <c r="O13" s="19">
        <f>IFERROR(__xludf.DUMMYFUNCTION("""COMPUTED_VALUE"""),0.0)</f>
        <v>0</v>
      </c>
      <c r="P13" s="19">
        <f>IFERROR(__xludf.DUMMYFUNCTION("""COMPUTED_VALUE"""),0.0)</f>
        <v>0</v>
      </c>
      <c r="Q13" s="4">
        <f>IFERROR(__xludf.DUMMYFUNCTION("""COMPUTED_VALUE"""),0.0)</f>
        <v>0</v>
      </c>
      <c r="R13" s="52"/>
      <c r="S13" s="52"/>
      <c r="T13" s="52"/>
      <c r="U13" s="52"/>
      <c r="V13" s="52"/>
      <c r="W13" s="52"/>
      <c r="X13" s="52"/>
    </row>
    <row r="14">
      <c r="A14" s="56">
        <f>IFERROR(__xludf.DUMMYFUNCTION("""COMPUTED_VALUE"""),12.0)</f>
        <v>12</v>
      </c>
      <c r="B14" s="57" t="str">
        <f>IFERROR(__xludf.DUMMYFUNCTION("""COMPUTED_VALUE"""),"Fig")</f>
        <v>Fig</v>
      </c>
      <c r="C14" s="56" t="str">
        <f>IFERROR(__xludf.DUMMYFUNCTION("""COMPUTED_VALUE"""),"Deanna")</f>
        <v>Deanna</v>
      </c>
      <c r="D14" s="19" t="str">
        <f>IFERROR(__xludf.DUMMYFUNCTION("""COMPUTED_VALUE"""),"Cutting")</f>
        <v>Cutting</v>
      </c>
      <c r="E14" s="19" t="str">
        <f>IFERROR(__xludf.DUMMYFUNCTION("""COMPUTED_VALUE"""),"-")</f>
        <v>-</v>
      </c>
      <c r="F14" s="58">
        <f>IFERROR(__xludf.DUMMYFUNCTION("""COMPUTED_VALUE"""),1020.0)</f>
        <v>1020</v>
      </c>
      <c r="G14" s="58">
        <f>IFERROR(__xludf.DUMMYFUNCTION("""COMPUTED_VALUE"""),0.0)</f>
        <v>0</v>
      </c>
      <c r="H14" s="58">
        <f>IFERROR(__xludf.DUMMYFUNCTION("""COMPUTED_VALUE"""),0.0)</f>
        <v>0</v>
      </c>
      <c r="I14" s="58">
        <f>IFERROR(__xludf.DUMMYFUNCTION("""COMPUTED_VALUE"""),0.0)</f>
        <v>0</v>
      </c>
      <c r="J14" s="58">
        <f>IFERROR(__xludf.DUMMYFUNCTION("""COMPUTED_VALUE"""),1020.0)</f>
        <v>1020</v>
      </c>
      <c r="K14" s="19">
        <f>IFERROR(__xludf.DUMMYFUNCTION("""COMPUTED_VALUE"""),800.0)</f>
        <v>800</v>
      </c>
      <c r="L14" s="19">
        <f>IFERROR(__xludf.DUMMYFUNCTION("""COMPUTED_VALUE"""),136.0)</f>
        <v>136</v>
      </c>
      <c r="M14" s="19">
        <f>IFERROR(__xludf.DUMMYFUNCTION("""COMPUTED_VALUE"""),74.0)</f>
        <v>74</v>
      </c>
      <c r="N14" s="19">
        <f>IFERROR(__xludf.DUMMYFUNCTION("""COMPUTED_VALUE"""),0.0)</f>
        <v>0</v>
      </c>
      <c r="O14" s="19">
        <f>IFERROR(__xludf.DUMMYFUNCTION("""COMPUTED_VALUE"""),0.0)</f>
        <v>0</v>
      </c>
      <c r="P14" s="19">
        <f>IFERROR(__xludf.DUMMYFUNCTION("""COMPUTED_VALUE"""),0.0)</f>
        <v>0</v>
      </c>
      <c r="Q14" s="4">
        <f>IFERROR(__xludf.DUMMYFUNCTION("""COMPUTED_VALUE"""),10.0)</f>
        <v>10</v>
      </c>
      <c r="R14" s="52"/>
      <c r="S14" s="52"/>
      <c r="T14" s="52"/>
      <c r="U14" s="52"/>
      <c r="V14" s="52"/>
      <c r="W14" s="52"/>
      <c r="X14" s="52"/>
    </row>
    <row r="15">
      <c r="A15" s="56">
        <f>IFERROR(__xludf.DUMMYFUNCTION("""COMPUTED_VALUE"""),13.0)</f>
        <v>13</v>
      </c>
      <c r="B15" s="57" t="str">
        <f>IFERROR(__xludf.DUMMYFUNCTION("""COMPUTED_VALUE"""),"Fig")</f>
        <v>Fig</v>
      </c>
      <c r="C15" s="56" t="str">
        <f>IFERROR(__xludf.DUMMYFUNCTION("""COMPUTED_VALUE"""),"Excel")</f>
        <v>Excel</v>
      </c>
      <c r="D15" s="19" t="str">
        <f>IFERROR(__xludf.DUMMYFUNCTION("""COMPUTED_VALUE"""),"Cutting")</f>
        <v>Cutting</v>
      </c>
      <c r="E15" s="19" t="str">
        <f>IFERROR(__xludf.DUMMYFUNCTION("""COMPUTED_VALUE"""),"-")</f>
        <v>-</v>
      </c>
      <c r="F15" s="58">
        <f>IFERROR(__xludf.DUMMYFUNCTION("""COMPUTED_VALUE"""),236.0)</f>
        <v>236</v>
      </c>
      <c r="G15" s="58">
        <f>IFERROR(__xludf.DUMMYFUNCTION("""COMPUTED_VALUE"""),0.0)</f>
        <v>0</v>
      </c>
      <c r="H15" s="58">
        <f>IFERROR(__xludf.DUMMYFUNCTION("""COMPUTED_VALUE"""),0.0)</f>
        <v>0</v>
      </c>
      <c r="I15" s="58">
        <f>IFERROR(__xludf.DUMMYFUNCTION("""COMPUTED_VALUE"""),0.0)</f>
        <v>0</v>
      </c>
      <c r="J15" s="58">
        <f>IFERROR(__xludf.DUMMYFUNCTION("""COMPUTED_VALUE"""),236.0)</f>
        <v>236</v>
      </c>
      <c r="K15" s="19">
        <f>IFERROR(__xludf.DUMMYFUNCTION("""COMPUTED_VALUE"""),150.0)</f>
        <v>150</v>
      </c>
      <c r="L15" s="19">
        <f>IFERROR(__xludf.DUMMYFUNCTION("""COMPUTED_VALUE"""),86.0)</f>
        <v>86</v>
      </c>
      <c r="M15" s="19">
        <f>IFERROR(__xludf.DUMMYFUNCTION("""COMPUTED_VALUE"""),0.0)</f>
        <v>0</v>
      </c>
      <c r="N15" s="19">
        <f>IFERROR(__xludf.DUMMYFUNCTION("""COMPUTED_VALUE"""),0.0)</f>
        <v>0</v>
      </c>
      <c r="O15" s="19">
        <f>IFERROR(__xludf.DUMMYFUNCTION("""COMPUTED_VALUE"""),0.0)</f>
        <v>0</v>
      </c>
      <c r="P15" s="19">
        <f>IFERROR(__xludf.DUMMYFUNCTION("""COMPUTED_VALUE"""),0.0)</f>
        <v>0</v>
      </c>
      <c r="Q15" s="4">
        <f>IFERROR(__xludf.DUMMYFUNCTION("""COMPUTED_VALUE"""),0.0)</f>
        <v>0</v>
      </c>
      <c r="R15" s="52"/>
      <c r="S15" s="52"/>
      <c r="T15" s="52"/>
      <c r="U15" s="52"/>
      <c r="V15" s="52"/>
      <c r="W15" s="52"/>
      <c r="X15" s="52"/>
    </row>
    <row r="16">
      <c r="A16" s="56">
        <f>IFERROR(__xludf.DUMMYFUNCTION("""COMPUTED_VALUE"""),14.0)</f>
        <v>14</v>
      </c>
      <c r="B16" s="57" t="str">
        <f>IFERROR(__xludf.DUMMYFUNCTION("""COMPUTED_VALUE"""),"Fig")</f>
        <v>Fig</v>
      </c>
      <c r="C16" s="56" t="str">
        <f>IFERROR(__xludf.DUMMYFUNCTION("""COMPUTED_VALUE"""),"Daulatabad")</f>
        <v>Daulatabad</v>
      </c>
      <c r="D16" s="19" t="str">
        <f>IFERROR(__xludf.DUMMYFUNCTION("""COMPUTED_VALUE"""),"Cutting")</f>
        <v>Cutting</v>
      </c>
      <c r="E16" s="19" t="str">
        <f>IFERROR(__xludf.DUMMYFUNCTION("""COMPUTED_VALUE"""),"-")</f>
        <v>-</v>
      </c>
      <c r="F16" s="58">
        <f>IFERROR(__xludf.DUMMYFUNCTION("""COMPUTED_VALUE"""),277.0)</f>
        <v>277</v>
      </c>
      <c r="G16" s="58">
        <f>IFERROR(__xludf.DUMMYFUNCTION("""COMPUTED_VALUE"""),0.0)</f>
        <v>0</v>
      </c>
      <c r="H16" s="58">
        <f>IFERROR(__xludf.DUMMYFUNCTION("""COMPUTED_VALUE"""),0.0)</f>
        <v>0</v>
      </c>
      <c r="I16" s="58">
        <f>IFERROR(__xludf.DUMMYFUNCTION("""COMPUTED_VALUE"""),0.0)</f>
        <v>0</v>
      </c>
      <c r="J16" s="58">
        <f>IFERROR(__xludf.DUMMYFUNCTION("""COMPUTED_VALUE"""),277.0)</f>
        <v>277</v>
      </c>
      <c r="K16" s="19">
        <f>IFERROR(__xludf.DUMMYFUNCTION("""COMPUTED_VALUE"""),265.0)</f>
        <v>265</v>
      </c>
      <c r="L16" s="19">
        <f>IFERROR(__xludf.DUMMYFUNCTION("""COMPUTED_VALUE"""),12.0)</f>
        <v>12</v>
      </c>
      <c r="M16" s="19">
        <f>IFERROR(__xludf.DUMMYFUNCTION("""COMPUTED_VALUE"""),0.0)</f>
        <v>0</v>
      </c>
      <c r="N16" s="19">
        <f>IFERROR(__xludf.DUMMYFUNCTION("""COMPUTED_VALUE"""),0.0)</f>
        <v>0</v>
      </c>
      <c r="O16" s="19">
        <f>IFERROR(__xludf.DUMMYFUNCTION("""COMPUTED_VALUE"""),0.0)</f>
        <v>0</v>
      </c>
      <c r="P16" s="19">
        <f>IFERROR(__xludf.DUMMYFUNCTION("""COMPUTED_VALUE"""),0.0)</f>
        <v>0</v>
      </c>
      <c r="Q16" s="4">
        <f>IFERROR(__xludf.DUMMYFUNCTION("""COMPUTED_VALUE"""),0.0)</f>
        <v>0</v>
      </c>
      <c r="R16" s="52"/>
      <c r="S16" s="52"/>
      <c r="T16" s="52"/>
      <c r="U16" s="52" t="str">
        <f>IFERROR(__xludf.DUMMYFUNCTION("""COMPUTED_VALUE"""),"             ")</f>
        <v>             </v>
      </c>
      <c r="V16" s="52"/>
      <c r="W16" s="52"/>
      <c r="X16" s="52"/>
    </row>
    <row r="17">
      <c r="A17" s="56">
        <f>IFERROR(__xludf.DUMMYFUNCTION("""COMPUTED_VALUE"""),15.0)</f>
        <v>15</v>
      </c>
      <c r="B17" s="57" t="str">
        <f>IFERROR(__xludf.DUMMYFUNCTION("""COMPUTED_VALUE"""),"Grapefruit")</f>
        <v>Grapefruit</v>
      </c>
      <c r="C17" s="56" t="str">
        <f>IFERROR(__xludf.DUMMYFUNCTION("""COMPUTED_VALUE"""),"VNR Lali")</f>
        <v>VNR Lali</v>
      </c>
      <c r="D17" s="19" t="str">
        <f>IFERROR(__xludf.DUMMYFUNCTION("""COMPUTED_VALUE"""),"Wedge Graft")</f>
        <v>Wedge Graft</v>
      </c>
      <c r="E17" s="19" t="str">
        <f>IFERROR(__xludf.DUMMYFUNCTION("""COMPUTED_VALUE"""),"Grapefruit + KK")</f>
        <v>Grapefruit + KK</v>
      </c>
      <c r="F17" s="58">
        <f>IFERROR(__xludf.DUMMYFUNCTION("""COMPUTED_VALUE"""),450.0)</f>
        <v>450</v>
      </c>
      <c r="G17" s="58">
        <f>IFERROR(__xludf.DUMMYFUNCTION("""COMPUTED_VALUE"""),0.0)</f>
        <v>0</v>
      </c>
      <c r="H17" s="58">
        <f>IFERROR(__xludf.DUMMYFUNCTION("""COMPUTED_VALUE"""),0.0)</f>
        <v>0</v>
      </c>
      <c r="I17" s="58">
        <f>IFERROR(__xludf.DUMMYFUNCTION("""COMPUTED_VALUE"""),0.0)</f>
        <v>0</v>
      </c>
      <c r="J17" s="58">
        <f>IFERROR(__xludf.DUMMYFUNCTION("""COMPUTED_VALUE"""),450.0)</f>
        <v>450</v>
      </c>
      <c r="K17" s="19">
        <f>IFERROR(__xludf.DUMMYFUNCTION("""COMPUTED_VALUE"""),425.0)</f>
        <v>425</v>
      </c>
      <c r="L17" s="19">
        <f>IFERROR(__xludf.DUMMYFUNCTION("""COMPUTED_VALUE"""),5.0)</f>
        <v>5</v>
      </c>
      <c r="M17" s="19">
        <f>IFERROR(__xludf.DUMMYFUNCTION("""COMPUTED_VALUE"""),0.0)</f>
        <v>0</v>
      </c>
      <c r="N17" s="19">
        <f>IFERROR(__xludf.DUMMYFUNCTION("""COMPUTED_VALUE"""),0.0)</f>
        <v>0</v>
      </c>
      <c r="O17" s="19">
        <f>IFERROR(__xludf.DUMMYFUNCTION("""COMPUTED_VALUE"""),0.0)</f>
        <v>0</v>
      </c>
      <c r="P17" s="19">
        <f>IFERROR(__xludf.DUMMYFUNCTION("""COMPUTED_VALUE"""),0.0)</f>
        <v>0</v>
      </c>
      <c r="Q17" s="4">
        <f>IFERROR(__xludf.DUMMYFUNCTION("""COMPUTED_VALUE"""),20.0)</f>
        <v>20</v>
      </c>
      <c r="R17" s="52"/>
      <c r="S17" s="52"/>
      <c r="T17" s="52"/>
      <c r="U17" s="52"/>
      <c r="V17" s="52"/>
      <c r="W17" s="52"/>
      <c r="X17" s="52"/>
    </row>
    <row r="18">
      <c r="A18" s="56">
        <f>IFERROR(__xludf.DUMMYFUNCTION("""COMPUTED_VALUE"""),16.0)</f>
        <v>16</v>
      </c>
      <c r="B18" s="57" t="str">
        <f>IFERROR(__xludf.DUMMYFUNCTION("""COMPUTED_VALUE"""),"Guava")</f>
        <v>Guava</v>
      </c>
      <c r="C18" s="56" t="str">
        <f>IFERROR(__xludf.DUMMYFUNCTION("""COMPUTED_VALUE"""),"VNR Bihi")</f>
        <v>VNR Bihi</v>
      </c>
      <c r="D18" s="19" t="str">
        <f>IFERROR(__xludf.DUMMYFUNCTION("""COMPUTED_VALUE"""),"Wedge Graft")</f>
        <v>Wedge Graft</v>
      </c>
      <c r="E18" s="19" t="str">
        <f>IFERROR(__xludf.DUMMYFUNCTION("""COMPUTED_VALUE"""),"VNR BIHI + Guava")</f>
        <v>VNR BIHI + Guava</v>
      </c>
      <c r="F18" s="58">
        <f>IFERROR(__xludf.DUMMYFUNCTION("""COMPUTED_VALUE"""),8230.0)</f>
        <v>8230</v>
      </c>
      <c r="G18" s="58">
        <f>IFERROR(__xludf.DUMMYFUNCTION("""COMPUTED_VALUE"""),0.0)</f>
        <v>0</v>
      </c>
      <c r="H18" s="58">
        <f>IFERROR(__xludf.DUMMYFUNCTION("""COMPUTED_VALUE"""),2959.0)</f>
        <v>2959</v>
      </c>
      <c r="I18" s="58">
        <f>IFERROR(__xludf.DUMMYFUNCTION("""COMPUTED_VALUE"""),0.0)</f>
        <v>0</v>
      </c>
      <c r="J18" s="58">
        <f>IFERROR(__xludf.DUMMYFUNCTION("""COMPUTED_VALUE"""),5271.0)</f>
        <v>5271</v>
      </c>
      <c r="K18" s="19">
        <f>IFERROR(__xludf.DUMMYFUNCTION("""COMPUTED_VALUE"""),1041.0)</f>
        <v>1041</v>
      </c>
      <c r="L18" s="19">
        <f>IFERROR(__xludf.DUMMYFUNCTION("""COMPUTED_VALUE"""),3000.0)</f>
        <v>3000</v>
      </c>
      <c r="M18" s="19">
        <f>IFERROR(__xludf.DUMMYFUNCTION("""COMPUTED_VALUE"""),1000.0)</f>
        <v>1000</v>
      </c>
      <c r="N18" s="19">
        <f>IFERROR(__xludf.DUMMYFUNCTION("""COMPUTED_VALUE"""),0.0)</f>
        <v>0</v>
      </c>
      <c r="O18" s="19">
        <f>IFERROR(__xludf.DUMMYFUNCTION("""COMPUTED_VALUE"""),0.0)</f>
        <v>0</v>
      </c>
      <c r="P18" s="19">
        <f>IFERROR(__xludf.DUMMYFUNCTION("""COMPUTED_VALUE"""),0.0)</f>
        <v>0</v>
      </c>
      <c r="Q18" s="4">
        <f>IFERROR(__xludf.DUMMYFUNCTION("""COMPUTED_VALUE"""),230.0)</f>
        <v>230</v>
      </c>
      <c r="R18" s="52"/>
      <c r="S18" s="52"/>
      <c r="T18" s="52"/>
      <c r="U18" s="52"/>
      <c r="V18" s="52"/>
      <c r="W18" s="52"/>
      <c r="X18" s="52"/>
    </row>
    <row r="19">
      <c r="A19" s="56">
        <f>IFERROR(__xludf.DUMMYFUNCTION("""COMPUTED_VALUE"""),17.0)</f>
        <v>17</v>
      </c>
      <c r="B19" s="57" t="str">
        <f>IFERROR(__xludf.DUMMYFUNCTION("""COMPUTED_VALUE"""),"Guava")</f>
        <v>Guava</v>
      </c>
      <c r="C19" s="56" t="str">
        <f>IFERROR(__xludf.DUMMYFUNCTION("""COMPUTED_VALUE"""),"VNR Carmine")</f>
        <v>VNR Carmine</v>
      </c>
      <c r="D19" s="19" t="str">
        <f>IFERROR(__xludf.DUMMYFUNCTION("""COMPUTED_VALUE"""),"Wedge Graft")</f>
        <v>Wedge Graft</v>
      </c>
      <c r="E19" s="19" t="str">
        <f>IFERROR(__xludf.DUMMYFUNCTION("""COMPUTED_VALUE"""),"VNR Carmine + Guava")</f>
        <v>VNR Carmine + Guava</v>
      </c>
      <c r="F19" s="58">
        <f>IFERROR(__xludf.DUMMYFUNCTION("""COMPUTED_VALUE"""),1689.0)</f>
        <v>1689</v>
      </c>
      <c r="G19" s="58">
        <f>IFERROR(__xludf.DUMMYFUNCTION("""COMPUTED_VALUE"""),0.0)</f>
        <v>0</v>
      </c>
      <c r="H19" s="58">
        <f>IFERROR(__xludf.DUMMYFUNCTION("""COMPUTED_VALUE"""),0.0)</f>
        <v>0</v>
      </c>
      <c r="I19" s="58">
        <f>IFERROR(__xludf.DUMMYFUNCTION("""COMPUTED_VALUE"""),0.0)</f>
        <v>0</v>
      </c>
      <c r="J19" s="58">
        <f>IFERROR(__xludf.DUMMYFUNCTION("""COMPUTED_VALUE"""),1689.0)</f>
        <v>1689</v>
      </c>
      <c r="K19" s="19">
        <f>IFERROR(__xludf.DUMMYFUNCTION("""COMPUTED_VALUE"""),1189.0)</f>
        <v>1189</v>
      </c>
      <c r="L19" s="19">
        <f>IFERROR(__xludf.DUMMYFUNCTION("""COMPUTED_VALUE"""),500.0)</f>
        <v>500</v>
      </c>
      <c r="M19" s="19">
        <f>IFERROR(__xludf.DUMMYFUNCTION("""COMPUTED_VALUE"""),0.0)</f>
        <v>0</v>
      </c>
      <c r="N19" s="19">
        <f>IFERROR(__xludf.DUMMYFUNCTION("""COMPUTED_VALUE"""),0.0)</f>
        <v>0</v>
      </c>
      <c r="O19" s="19">
        <f>IFERROR(__xludf.DUMMYFUNCTION("""COMPUTED_VALUE"""),0.0)</f>
        <v>0</v>
      </c>
      <c r="P19" s="19">
        <f>IFERROR(__xludf.DUMMYFUNCTION("""COMPUTED_VALUE"""),0.0)</f>
        <v>0</v>
      </c>
      <c r="Q19" s="4">
        <f>IFERROR(__xludf.DUMMYFUNCTION("""COMPUTED_VALUE"""),0.0)</f>
        <v>0</v>
      </c>
      <c r="R19" s="52"/>
      <c r="S19" s="52"/>
      <c r="T19" s="52"/>
      <c r="U19" s="52"/>
      <c r="V19" s="52"/>
      <c r="W19" s="52"/>
      <c r="X19" s="52"/>
    </row>
    <row r="20">
      <c r="A20" s="56">
        <f>IFERROR(__xludf.DUMMYFUNCTION("""COMPUTED_VALUE"""),18.0)</f>
        <v>18</v>
      </c>
      <c r="B20" s="57" t="str">
        <f>IFERROR(__xludf.DUMMYFUNCTION("""COMPUTED_VALUE"""),"Jackfruit")</f>
        <v>Jackfruit</v>
      </c>
      <c r="C20" s="56" t="str">
        <f>IFERROR(__xludf.DUMMYFUNCTION("""COMPUTED_VALUE"""),"VNR - 1")</f>
        <v>VNR - 1</v>
      </c>
      <c r="D20" s="19" t="str">
        <f>IFERROR(__xludf.DUMMYFUNCTION("""COMPUTED_VALUE"""),"Wedge Graft")</f>
        <v>Wedge Graft</v>
      </c>
      <c r="E20" s="19" t="str">
        <f>IFERROR(__xludf.DUMMYFUNCTION("""COMPUTED_VALUE"""),"VNR Kathal + Jackfruit")</f>
        <v>VNR Kathal + Jackfruit</v>
      </c>
      <c r="F20" s="58">
        <f>IFERROR(__xludf.DUMMYFUNCTION("""COMPUTED_VALUE"""),10.0)</f>
        <v>10</v>
      </c>
      <c r="G20" s="58">
        <f>IFERROR(__xludf.DUMMYFUNCTION("""COMPUTED_VALUE"""),0.0)</f>
        <v>0</v>
      </c>
      <c r="H20" s="58">
        <f>IFERROR(__xludf.DUMMYFUNCTION("""COMPUTED_VALUE"""),1.0)</f>
        <v>1</v>
      </c>
      <c r="I20" s="58">
        <f>IFERROR(__xludf.DUMMYFUNCTION("""COMPUTED_VALUE"""),0.0)</f>
        <v>0</v>
      </c>
      <c r="J20" s="58">
        <f>IFERROR(__xludf.DUMMYFUNCTION("""COMPUTED_VALUE"""),9.0)</f>
        <v>9</v>
      </c>
      <c r="K20" s="19">
        <f>IFERROR(__xludf.DUMMYFUNCTION("""COMPUTED_VALUE"""),9.0)</f>
        <v>9</v>
      </c>
      <c r="L20" s="19">
        <f>IFERROR(__xludf.DUMMYFUNCTION("""COMPUTED_VALUE"""),0.0)</f>
        <v>0</v>
      </c>
      <c r="M20" s="19">
        <f>IFERROR(__xludf.DUMMYFUNCTION("""COMPUTED_VALUE"""),0.0)</f>
        <v>0</v>
      </c>
      <c r="N20" s="19">
        <f>IFERROR(__xludf.DUMMYFUNCTION("""COMPUTED_VALUE"""),0.0)</f>
        <v>0</v>
      </c>
      <c r="O20" s="19">
        <f>IFERROR(__xludf.DUMMYFUNCTION("""COMPUTED_VALUE"""),0.0)</f>
        <v>0</v>
      </c>
      <c r="P20" s="19">
        <f>IFERROR(__xludf.DUMMYFUNCTION("""COMPUTED_VALUE"""),0.0)</f>
        <v>0</v>
      </c>
      <c r="Q20" s="4">
        <f>IFERROR(__xludf.DUMMYFUNCTION("""COMPUTED_VALUE"""),0.0)</f>
        <v>0</v>
      </c>
      <c r="R20" s="52"/>
      <c r="S20" s="52"/>
      <c r="T20" s="52"/>
      <c r="U20" s="52"/>
      <c r="V20" s="52"/>
      <c r="W20" s="52"/>
      <c r="X20" s="52"/>
    </row>
    <row r="21">
      <c r="A21" s="56">
        <f>IFERROR(__xludf.DUMMYFUNCTION("""COMPUTED_VALUE"""),19.0)</f>
        <v>19</v>
      </c>
      <c r="B21" s="57" t="str">
        <f>IFERROR(__xludf.DUMMYFUNCTION("""COMPUTED_VALUE"""),"Jackfruit")</f>
        <v>Jackfruit</v>
      </c>
      <c r="C21" s="56" t="str">
        <f>IFERROR(__xludf.DUMMYFUNCTION("""COMPUTED_VALUE"""),"VNR Jack - E")</f>
        <v>VNR Jack - E</v>
      </c>
      <c r="D21" s="19" t="str">
        <f>IFERROR(__xludf.DUMMYFUNCTION("""COMPUTED_VALUE"""),"Budded")</f>
        <v>Budded</v>
      </c>
      <c r="E21" s="19" t="str">
        <f>IFERROR(__xludf.DUMMYFUNCTION("""COMPUTED_VALUE"""),"Jack-E + Jackfruit")</f>
        <v>Jack-E + Jackfruit</v>
      </c>
      <c r="F21" s="58">
        <f>IFERROR(__xludf.DUMMYFUNCTION("""COMPUTED_VALUE"""),18.0)</f>
        <v>18</v>
      </c>
      <c r="G21" s="58">
        <f>IFERROR(__xludf.DUMMYFUNCTION("""COMPUTED_VALUE"""),0.0)</f>
        <v>0</v>
      </c>
      <c r="H21" s="58">
        <f>IFERROR(__xludf.DUMMYFUNCTION("""COMPUTED_VALUE"""),0.0)</f>
        <v>0</v>
      </c>
      <c r="I21" s="58">
        <f>IFERROR(__xludf.DUMMYFUNCTION("""COMPUTED_VALUE"""),0.0)</f>
        <v>0</v>
      </c>
      <c r="J21" s="58">
        <f>IFERROR(__xludf.DUMMYFUNCTION("""COMPUTED_VALUE"""),18.0)</f>
        <v>18</v>
      </c>
      <c r="K21" s="19">
        <f>IFERROR(__xludf.DUMMYFUNCTION("""COMPUTED_VALUE"""),0.0)</f>
        <v>0</v>
      </c>
      <c r="L21" s="19">
        <f>IFERROR(__xludf.DUMMYFUNCTION("""COMPUTED_VALUE"""),12.0)</f>
        <v>12</v>
      </c>
      <c r="M21" s="19">
        <f>IFERROR(__xludf.DUMMYFUNCTION("""COMPUTED_VALUE"""),0.0)</f>
        <v>0</v>
      </c>
      <c r="N21" s="19">
        <f>IFERROR(__xludf.DUMMYFUNCTION("""COMPUTED_VALUE"""),0.0)</f>
        <v>0</v>
      </c>
      <c r="O21" s="19">
        <f>IFERROR(__xludf.DUMMYFUNCTION("""COMPUTED_VALUE"""),0.0)</f>
        <v>0</v>
      </c>
      <c r="P21" s="19">
        <f>IFERROR(__xludf.DUMMYFUNCTION("""COMPUTED_VALUE"""),0.0)</f>
        <v>0</v>
      </c>
      <c r="Q21" s="4">
        <f>IFERROR(__xludf.DUMMYFUNCTION("""COMPUTED_VALUE"""),6.0)</f>
        <v>6</v>
      </c>
      <c r="R21" s="52"/>
      <c r="S21" s="52"/>
      <c r="T21" s="52"/>
      <c r="U21" s="52"/>
      <c r="V21" s="52"/>
      <c r="W21" s="52"/>
      <c r="X21" s="52"/>
    </row>
    <row r="22">
      <c r="A22" s="56">
        <f>IFERROR(__xludf.DUMMYFUNCTION("""COMPUTED_VALUE"""),20.0)</f>
        <v>20</v>
      </c>
      <c r="B22" s="57" t="str">
        <f>IFERROR(__xludf.DUMMYFUNCTION("""COMPUTED_VALUE"""),"Jamun")</f>
        <v>Jamun</v>
      </c>
      <c r="C22" s="56" t="str">
        <f>IFERROR(__xludf.DUMMYFUNCTION("""COMPUTED_VALUE"""),"Gomapriyanka")</f>
        <v>Gomapriyanka</v>
      </c>
      <c r="D22" s="19" t="str">
        <f>IFERROR(__xludf.DUMMYFUNCTION("""COMPUTED_VALUE"""),"Wedge Graft")</f>
        <v>Wedge Graft</v>
      </c>
      <c r="E22" s="19" t="str">
        <f>IFERROR(__xludf.DUMMYFUNCTION("""COMPUTED_VALUE"""),"Goma Priyanka + Jamun")</f>
        <v>Goma Priyanka + Jamun</v>
      </c>
      <c r="F22" s="58">
        <f>IFERROR(__xludf.DUMMYFUNCTION("""COMPUTED_VALUE"""),1528.0)</f>
        <v>1528</v>
      </c>
      <c r="G22" s="58">
        <f>IFERROR(__xludf.DUMMYFUNCTION("""COMPUTED_VALUE"""),0.0)</f>
        <v>0</v>
      </c>
      <c r="H22" s="58">
        <f>IFERROR(__xludf.DUMMYFUNCTION("""COMPUTED_VALUE"""),12.0)</f>
        <v>12</v>
      </c>
      <c r="I22" s="58">
        <f>IFERROR(__xludf.DUMMYFUNCTION("""COMPUTED_VALUE"""),0.0)</f>
        <v>0</v>
      </c>
      <c r="J22" s="58">
        <f>IFERROR(__xludf.DUMMYFUNCTION("""COMPUTED_VALUE"""),1516.0)</f>
        <v>1516</v>
      </c>
      <c r="K22" s="19">
        <f>IFERROR(__xludf.DUMMYFUNCTION("""COMPUTED_VALUE"""),1038.0)</f>
        <v>1038</v>
      </c>
      <c r="L22" s="19">
        <f>IFERROR(__xludf.DUMMYFUNCTION("""COMPUTED_VALUE"""),478.0)</f>
        <v>478</v>
      </c>
      <c r="M22" s="19">
        <f>IFERROR(__xludf.DUMMYFUNCTION("""COMPUTED_VALUE"""),0.0)</f>
        <v>0</v>
      </c>
      <c r="N22" s="19">
        <f>IFERROR(__xludf.DUMMYFUNCTION("""COMPUTED_VALUE"""),0.0)</f>
        <v>0</v>
      </c>
      <c r="O22" s="19">
        <f>IFERROR(__xludf.DUMMYFUNCTION("""COMPUTED_VALUE"""),0.0)</f>
        <v>0</v>
      </c>
      <c r="P22" s="19">
        <f>IFERROR(__xludf.DUMMYFUNCTION("""COMPUTED_VALUE"""),0.0)</f>
        <v>0</v>
      </c>
      <c r="Q22" s="4">
        <f>IFERROR(__xludf.DUMMYFUNCTION("""COMPUTED_VALUE"""),0.0)</f>
        <v>0</v>
      </c>
      <c r="R22" s="52"/>
      <c r="S22" s="52"/>
      <c r="T22" s="52"/>
      <c r="U22" s="52"/>
      <c r="V22" s="52"/>
      <c r="W22" s="52"/>
      <c r="X22" s="52"/>
    </row>
    <row r="23">
      <c r="A23" s="56">
        <f>IFERROR(__xludf.DUMMYFUNCTION("""COMPUTED_VALUE"""),21.0)</f>
        <v>21</v>
      </c>
      <c r="B23" s="57" t="str">
        <f>IFERROR(__xludf.DUMMYFUNCTION("""COMPUTED_VALUE"""),"Jamun")</f>
        <v>Jamun</v>
      </c>
      <c r="C23" s="56" t="str">
        <f>IFERROR(__xludf.DUMMYFUNCTION("""COMPUTED_VALUE"""),"Bahadoli")</f>
        <v>Bahadoli</v>
      </c>
      <c r="D23" s="19" t="str">
        <f>IFERROR(__xludf.DUMMYFUNCTION("""COMPUTED_VALUE"""),"Wedge Graft")</f>
        <v>Wedge Graft</v>
      </c>
      <c r="E23" s="19" t="str">
        <f>IFERROR(__xludf.DUMMYFUNCTION("""COMPUTED_VALUE"""),"Bahadoli + Jamun")</f>
        <v>Bahadoli + Jamun</v>
      </c>
      <c r="F23" s="58">
        <f>IFERROR(__xludf.DUMMYFUNCTION("""COMPUTED_VALUE"""),30.0)</f>
        <v>30</v>
      </c>
      <c r="G23" s="58">
        <f>IFERROR(__xludf.DUMMYFUNCTION("""COMPUTED_VALUE"""),0.0)</f>
        <v>0</v>
      </c>
      <c r="H23" s="58">
        <f>IFERROR(__xludf.DUMMYFUNCTION("""COMPUTED_VALUE"""),0.0)</f>
        <v>0</v>
      </c>
      <c r="I23" s="58">
        <f>IFERROR(__xludf.DUMMYFUNCTION("""COMPUTED_VALUE"""),0.0)</f>
        <v>0</v>
      </c>
      <c r="J23" s="58">
        <f>IFERROR(__xludf.DUMMYFUNCTION("""COMPUTED_VALUE"""),30.0)</f>
        <v>30</v>
      </c>
      <c r="K23" s="19">
        <f>IFERROR(__xludf.DUMMYFUNCTION("""COMPUTED_VALUE"""),24.0)</f>
        <v>24</v>
      </c>
      <c r="L23" s="19">
        <f>IFERROR(__xludf.DUMMYFUNCTION("""COMPUTED_VALUE"""),0.0)</f>
        <v>0</v>
      </c>
      <c r="M23" s="19">
        <f>IFERROR(__xludf.DUMMYFUNCTION("""COMPUTED_VALUE"""),6.0)</f>
        <v>6</v>
      </c>
      <c r="N23" s="19">
        <f>IFERROR(__xludf.DUMMYFUNCTION("""COMPUTED_VALUE"""),0.0)</f>
        <v>0</v>
      </c>
      <c r="O23" s="19">
        <f>IFERROR(__xludf.DUMMYFUNCTION("""COMPUTED_VALUE"""),0.0)</f>
        <v>0</v>
      </c>
      <c r="P23" s="19">
        <f>IFERROR(__xludf.DUMMYFUNCTION("""COMPUTED_VALUE"""),0.0)</f>
        <v>0</v>
      </c>
      <c r="Q23" s="4">
        <f>IFERROR(__xludf.DUMMYFUNCTION("""COMPUTED_VALUE"""),0.0)</f>
        <v>0</v>
      </c>
      <c r="R23" s="52"/>
      <c r="S23" s="52"/>
      <c r="T23" s="52"/>
      <c r="U23" s="52"/>
      <c r="V23" s="52"/>
      <c r="W23" s="52"/>
      <c r="X23" s="52"/>
    </row>
    <row r="24">
      <c r="A24" s="56">
        <f>IFERROR(__xludf.DUMMYFUNCTION("""COMPUTED_VALUE"""),22.0)</f>
        <v>22</v>
      </c>
      <c r="B24" s="57" t="str">
        <f>IFERROR(__xludf.DUMMYFUNCTION("""COMPUTED_VALUE"""),"Kamrakh")</f>
        <v>Kamrakh</v>
      </c>
      <c r="C24" s="56" t="str">
        <f>IFERROR(__xludf.DUMMYFUNCTION("""COMPUTED_VALUE"""),"VNR Naval")</f>
        <v>VNR Naval</v>
      </c>
      <c r="D24" s="19" t="str">
        <f>IFERROR(__xludf.DUMMYFUNCTION("""COMPUTED_VALUE"""),"Wedge Graft")</f>
        <v>Wedge Graft</v>
      </c>
      <c r="E24" s="19" t="str">
        <f>IFERROR(__xludf.DUMMYFUNCTION("""COMPUTED_VALUE"""),"VNR Naval + Kamrakh")</f>
        <v>VNR Naval + Kamrakh</v>
      </c>
      <c r="F24" s="58">
        <f>IFERROR(__xludf.DUMMYFUNCTION("""COMPUTED_VALUE"""),3.0)</f>
        <v>3</v>
      </c>
      <c r="G24" s="58">
        <f>IFERROR(__xludf.DUMMYFUNCTION("""COMPUTED_VALUE"""),0.0)</f>
        <v>0</v>
      </c>
      <c r="H24" s="58">
        <f>IFERROR(__xludf.DUMMYFUNCTION("""COMPUTED_VALUE"""),0.0)</f>
        <v>0</v>
      </c>
      <c r="I24" s="58">
        <f>IFERROR(__xludf.DUMMYFUNCTION("""COMPUTED_VALUE"""),0.0)</f>
        <v>0</v>
      </c>
      <c r="J24" s="58">
        <f>IFERROR(__xludf.DUMMYFUNCTION("""COMPUTED_VALUE"""),3.0)</f>
        <v>3</v>
      </c>
      <c r="K24" s="19">
        <f>IFERROR(__xludf.DUMMYFUNCTION("""COMPUTED_VALUE"""),3.0)</f>
        <v>3</v>
      </c>
      <c r="L24" s="19">
        <f>IFERROR(__xludf.DUMMYFUNCTION("""COMPUTED_VALUE"""),0.0)</f>
        <v>0</v>
      </c>
      <c r="M24" s="19">
        <f>IFERROR(__xludf.DUMMYFUNCTION("""COMPUTED_VALUE"""),0.0)</f>
        <v>0</v>
      </c>
      <c r="N24" s="19">
        <f>IFERROR(__xludf.DUMMYFUNCTION("""COMPUTED_VALUE"""),0.0)</f>
        <v>0</v>
      </c>
      <c r="O24" s="19">
        <f>IFERROR(__xludf.DUMMYFUNCTION("""COMPUTED_VALUE"""),0.0)</f>
        <v>0</v>
      </c>
      <c r="P24" s="19">
        <f>IFERROR(__xludf.DUMMYFUNCTION("""COMPUTED_VALUE"""),0.0)</f>
        <v>0</v>
      </c>
      <c r="Q24" s="4">
        <f>IFERROR(__xludf.DUMMYFUNCTION("""COMPUTED_VALUE"""),0.0)</f>
        <v>0</v>
      </c>
      <c r="R24" s="52"/>
      <c r="S24" s="52"/>
      <c r="T24" s="52"/>
      <c r="U24" s="52"/>
      <c r="V24" s="52"/>
      <c r="W24" s="52"/>
      <c r="X24" s="52"/>
    </row>
    <row r="25">
      <c r="A25" s="56">
        <f>IFERROR(__xludf.DUMMYFUNCTION("""COMPUTED_VALUE"""),23.0)</f>
        <v>23</v>
      </c>
      <c r="B25" s="59" t="str">
        <f>IFERROR(__xludf.DUMMYFUNCTION("""COMPUTED_VALUE"""),"Kamrakh")</f>
        <v>Kamrakh</v>
      </c>
      <c r="C25" s="56" t="str">
        <f>IFERROR(__xludf.DUMMYFUNCTION("""COMPUTED_VALUE"""),"Chakulia")</f>
        <v>Chakulia</v>
      </c>
      <c r="D25" s="19" t="str">
        <f>IFERROR(__xludf.DUMMYFUNCTION("""COMPUTED_VALUE"""),"Wedge Graft")</f>
        <v>Wedge Graft</v>
      </c>
      <c r="E25" s="19"/>
      <c r="F25" s="58">
        <f>IFERROR(__xludf.DUMMYFUNCTION("""COMPUTED_VALUE"""),0.0)</f>
        <v>0</v>
      </c>
      <c r="G25" s="58">
        <f>IFERROR(__xludf.DUMMYFUNCTION("""COMPUTED_VALUE"""),0.0)</f>
        <v>0</v>
      </c>
      <c r="H25" s="58">
        <f>IFERROR(__xludf.DUMMYFUNCTION("""COMPUTED_VALUE"""),0.0)</f>
        <v>0</v>
      </c>
      <c r="I25" s="58">
        <f>IFERROR(__xludf.DUMMYFUNCTION("""COMPUTED_VALUE"""),0.0)</f>
        <v>0</v>
      </c>
      <c r="J25" s="58">
        <f>IFERROR(__xludf.DUMMYFUNCTION("""COMPUTED_VALUE"""),0.0)</f>
        <v>0</v>
      </c>
      <c r="K25" s="19">
        <f>IFERROR(__xludf.DUMMYFUNCTION("""COMPUTED_VALUE"""),0.0)</f>
        <v>0</v>
      </c>
      <c r="L25" s="19">
        <f>IFERROR(__xludf.DUMMYFUNCTION("""COMPUTED_VALUE"""),0.0)</f>
        <v>0</v>
      </c>
      <c r="M25" s="19">
        <f>IFERROR(__xludf.DUMMYFUNCTION("""COMPUTED_VALUE"""),0.0)</f>
        <v>0</v>
      </c>
      <c r="N25" s="19">
        <f>IFERROR(__xludf.DUMMYFUNCTION("""COMPUTED_VALUE"""),0.0)</f>
        <v>0</v>
      </c>
      <c r="O25" s="19">
        <f>IFERROR(__xludf.DUMMYFUNCTION("""COMPUTED_VALUE"""),0.0)</f>
        <v>0</v>
      </c>
      <c r="P25" s="19">
        <f>IFERROR(__xludf.DUMMYFUNCTION("""COMPUTED_VALUE"""),0.0)</f>
        <v>0</v>
      </c>
      <c r="Q25" s="4">
        <f>IFERROR(__xludf.DUMMYFUNCTION("""COMPUTED_VALUE"""),0.0)</f>
        <v>0</v>
      </c>
      <c r="R25" s="52"/>
      <c r="S25" s="52"/>
      <c r="T25" s="52"/>
      <c r="U25" s="52"/>
      <c r="V25" s="52"/>
      <c r="W25" s="52"/>
      <c r="X25" s="52"/>
    </row>
    <row r="26">
      <c r="A26" s="56">
        <f>IFERROR(__xludf.DUMMYFUNCTION("""COMPUTED_VALUE"""),24.0)</f>
        <v>24</v>
      </c>
      <c r="B26" s="57" t="str">
        <f>IFERROR(__xludf.DUMMYFUNCTION("""COMPUTED_VALUE"""),"Karonda")</f>
        <v>Karonda</v>
      </c>
      <c r="C26" s="56" t="str">
        <f>IFERROR(__xludf.DUMMYFUNCTION("""COMPUTED_VALUE"""),"VNR - 1")</f>
        <v>VNR - 1</v>
      </c>
      <c r="D26" s="19" t="str">
        <f>IFERROR(__xludf.DUMMYFUNCTION("""COMPUTED_VALUE"""),"Seedling")</f>
        <v>Seedling</v>
      </c>
      <c r="E26" s="19"/>
      <c r="F26" s="58">
        <f>IFERROR(__xludf.DUMMYFUNCTION("""COMPUTED_VALUE"""),479.0)</f>
        <v>479</v>
      </c>
      <c r="G26" s="58">
        <f>IFERROR(__xludf.DUMMYFUNCTION("""COMPUTED_VALUE"""),0.0)</f>
        <v>0</v>
      </c>
      <c r="H26" s="58">
        <f>IFERROR(__xludf.DUMMYFUNCTION("""COMPUTED_VALUE"""),32.0)</f>
        <v>32</v>
      </c>
      <c r="I26" s="58">
        <f>IFERROR(__xludf.DUMMYFUNCTION("""COMPUTED_VALUE"""),0.0)</f>
        <v>0</v>
      </c>
      <c r="J26" s="58">
        <f>IFERROR(__xludf.DUMMYFUNCTION("""COMPUTED_VALUE"""),447.0)</f>
        <v>447</v>
      </c>
      <c r="K26" s="19">
        <f>IFERROR(__xludf.DUMMYFUNCTION("""COMPUTED_VALUE"""),368.0)</f>
        <v>368</v>
      </c>
      <c r="L26" s="19">
        <f>IFERROR(__xludf.DUMMYFUNCTION("""COMPUTED_VALUE"""),79.0)</f>
        <v>79</v>
      </c>
      <c r="M26" s="19">
        <f>IFERROR(__xludf.DUMMYFUNCTION("""COMPUTED_VALUE"""),0.0)</f>
        <v>0</v>
      </c>
      <c r="N26" s="19">
        <f>IFERROR(__xludf.DUMMYFUNCTION("""COMPUTED_VALUE"""),0.0)</f>
        <v>0</v>
      </c>
      <c r="O26" s="19">
        <f>IFERROR(__xludf.DUMMYFUNCTION("""COMPUTED_VALUE"""),0.0)</f>
        <v>0</v>
      </c>
      <c r="P26" s="19">
        <f>IFERROR(__xludf.DUMMYFUNCTION("""COMPUTED_VALUE"""),0.0)</f>
        <v>0</v>
      </c>
      <c r="Q26" s="4">
        <f>IFERROR(__xludf.DUMMYFUNCTION("""COMPUTED_VALUE"""),0.0)</f>
        <v>0</v>
      </c>
      <c r="R26" s="52"/>
      <c r="S26" s="52"/>
      <c r="T26" s="52"/>
      <c r="U26" s="52"/>
      <c r="V26" s="52"/>
      <c r="W26" s="52"/>
      <c r="X26" s="52"/>
    </row>
    <row r="27">
      <c r="A27" s="56">
        <f>IFERROR(__xludf.DUMMYFUNCTION("""COMPUTED_VALUE"""),25.0)</f>
        <v>25</v>
      </c>
      <c r="B27" s="57" t="str">
        <f>IFERROR(__xludf.DUMMYFUNCTION("""COMPUTED_VALUE"""),"Karonda")</f>
        <v>Karonda</v>
      </c>
      <c r="C27" s="56" t="str">
        <f>IFERROR(__xludf.DUMMYFUNCTION("""COMPUTED_VALUE"""),"Americana")</f>
        <v>Americana</v>
      </c>
      <c r="D27" s="19" t="str">
        <f>IFERROR(__xludf.DUMMYFUNCTION("""COMPUTED_VALUE"""),"Seedling")</f>
        <v>Seedling</v>
      </c>
      <c r="E27" s="19"/>
      <c r="F27" s="58">
        <f>IFERROR(__xludf.DUMMYFUNCTION("""COMPUTED_VALUE"""),19.0)</f>
        <v>19</v>
      </c>
      <c r="G27" s="58">
        <f>IFERROR(__xludf.DUMMYFUNCTION("""COMPUTED_VALUE"""),470.0)</f>
        <v>470</v>
      </c>
      <c r="H27" s="58">
        <f>IFERROR(__xludf.DUMMYFUNCTION("""COMPUTED_VALUE"""),472.0)</f>
        <v>472</v>
      </c>
      <c r="I27" s="58">
        <f>IFERROR(__xludf.DUMMYFUNCTION("""COMPUTED_VALUE"""),0.0)</f>
        <v>0</v>
      </c>
      <c r="J27" s="58">
        <f>IFERROR(__xludf.DUMMYFUNCTION("""COMPUTED_VALUE"""),17.0)</f>
        <v>17</v>
      </c>
      <c r="K27" s="19">
        <f>IFERROR(__xludf.DUMMYFUNCTION("""COMPUTED_VALUE"""),-2.0)</f>
        <v>-2</v>
      </c>
      <c r="L27" s="19">
        <f>IFERROR(__xludf.DUMMYFUNCTION("""COMPUTED_VALUE"""),19.0)</f>
        <v>19</v>
      </c>
      <c r="M27" s="19">
        <f>IFERROR(__xludf.DUMMYFUNCTION("""COMPUTED_VALUE"""),0.0)</f>
        <v>0</v>
      </c>
      <c r="N27" s="19">
        <f>IFERROR(__xludf.DUMMYFUNCTION("""COMPUTED_VALUE"""),0.0)</f>
        <v>0</v>
      </c>
      <c r="O27" s="19">
        <f>IFERROR(__xludf.DUMMYFUNCTION("""COMPUTED_VALUE"""),0.0)</f>
        <v>0</v>
      </c>
      <c r="P27" s="19">
        <f>IFERROR(__xludf.DUMMYFUNCTION("""COMPUTED_VALUE"""),0.0)</f>
        <v>0</v>
      </c>
      <c r="Q27" s="4">
        <f>IFERROR(__xludf.DUMMYFUNCTION("""COMPUTED_VALUE"""),0.0)</f>
        <v>0</v>
      </c>
      <c r="R27" s="52"/>
      <c r="S27" s="52"/>
      <c r="T27" s="52"/>
      <c r="U27" s="52"/>
      <c r="V27" s="52"/>
      <c r="W27" s="52"/>
      <c r="X27" s="52"/>
    </row>
    <row r="28">
      <c r="A28" s="56">
        <f>IFERROR(__xludf.DUMMYFUNCTION("""COMPUTED_VALUE"""),26.0)</f>
        <v>26</v>
      </c>
      <c r="B28" s="57" t="str">
        <f>IFERROR(__xludf.DUMMYFUNCTION("""COMPUTED_VALUE"""),"Kinnow")</f>
        <v>Kinnow</v>
      </c>
      <c r="C28" s="56" t="str">
        <f>IFERROR(__xludf.DUMMYFUNCTION("""COMPUTED_VALUE"""),"Mandarin")</f>
        <v>Mandarin</v>
      </c>
      <c r="D28" s="19" t="str">
        <f>IFERROR(__xludf.DUMMYFUNCTION("""COMPUTED_VALUE"""),"Wedge Graft")</f>
        <v>Wedge Graft</v>
      </c>
      <c r="E28" s="19" t="str">
        <f>IFERROR(__xludf.DUMMYFUNCTION("""COMPUTED_VALUE"""),"Kinnow Mandarin + NC")</f>
        <v>Kinnow Mandarin + NC</v>
      </c>
      <c r="F28" s="58">
        <f>IFERROR(__xludf.DUMMYFUNCTION("""COMPUTED_VALUE"""),306.0)</f>
        <v>306</v>
      </c>
      <c r="G28" s="58">
        <f>IFERROR(__xludf.DUMMYFUNCTION("""COMPUTED_VALUE"""),0.0)</f>
        <v>0</v>
      </c>
      <c r="H28" s="58">
        <f>IFERROR(__xludf.DUMMYFUNCTION("""COMPUTED_VALUE"""),0.0)</f>
        <v>0</v>
      </c>
      <c r="I28" s="58">
        <f>IFERROR(__xludf.DUMMYFUNCTION("""COMPUTED_VALUE"""),0.0)</f>
        <v>0</v>
      </c>
      <c r="J28" s="58">
        <f>IFERROR(__xludf.DUMMYFUNCTION("""COMPUTED_VALUE"""),306.0)</f>
        <v>306</v>
      </c>
      <c r="K28" s="19">
        <f>IFERROR(__xludf.DUMMYFUNCTION("""COMPUTED_VALUE"""),0.0)</f>
        <v>0</v>
      </c>
      <c r="L28" s="19">
        <f>IFERROR(__xludf.DUMMYFUNCTION("""COMPUTED_VALUE"""),0.0)</f>
        <v>0</v>
      </c>
      <c r="M28" s="19">
        <f>IFERROR(__xludf.DUMMYFUNCTION("""COMPUTED_VALUE"""),30.0)</f>
        <v>30</v>
      </c>
      <c r="N28" s="19">
        <f>IFERROR(__xludf.DUMMYFUNCTION("""COMPUTED_VALUE"""),0.0)</f>
        <v>0</v>
      </c>
      <c r="O28" s="19">
        <f>IFERROR(__xludf.DUMMYFUNCTION("""COMPUTED_VALUE"""),0.0)</f>
        <v>0</v>
      </c>
      <c r="P28" s="19">
        <f>IFERROR(__xludf.DUMMYFUNCTION("""COMPUTED_VALUE"""),0.0)</f>
        <v>0</v>
      </c>
      <c r="Q28" s="4">
        <f>IFERROR(__xludf.DUMMYFUNCTION("""COMPUTED_VALUE"""),276.0)</f>
        <v>276</v>
      </c>
      <c r="R28" s="52"/>
      <c r="S28" s="52"/>
      <c r="T28" s="52"/>
      <c r="U28" s="52"/>
      <c r="V28" s="52"/>
      <c r="W28" s="52"/>
      <c r="X28" s="52"/>
    </row>
    <row r="29">
      <c r="A29" s="56">
        <f>IFERROR(__xludf.DUMMYFUNCTION("""COMPUTED_VALUE"""),27.0)</f>
        <v>27</v>
      </c>
      <c r="B29" s="57" t="str">
        <f>IFERROR(__xludf.DUMMYFUNCTION("""COMPUTED_VALUE"""),"Lemon")</f>
        <v>Lemon</v>
      </c>
      <c r="C29" s="56" t="str">
        <f>IFERROR(__xludf.DUMMYFUNCTION("""COMPUTED_VALUE"""),"Konkan")</f>
        <v>Konkan</v>
      </c>
      <c r="D29" s="19" t="str">
        <f>IFERROR(__xludf.DUMMYFUNCTION("""COMPUTED_VALUE"""),"Wedge Graft")</f>
        <v>Wedge Graft</v>
      </c>
      <c r="E29" s="19" t="str">
        <f>IFERROR(__xludf.DUMMYFUNCTION("""COMPUTED_VALUE"""),"Konkan Lemon + JB")</f>
        <v>Konkan Lemon + JB</v>
      </c>
      <c r="F29" s="58">
        <f>IFERROR(__xludf.DUMMYFUNCTION("""COMPUTED_VALUE"""),2.0)</f>
        <v>2</v>
      </c>
      <c r="G29" s="58">
        <f>IFERROR(__xludf.DUMMYFUNCTION("""COMPUTED_VALUE"""),0.0)</f>
        <v>0</v>
      </c>
      <c r="H29" s="58">
        <f>IFERROR(__xludf.DUMMYFUNCTION("""COMPUTED_VALUE"""),0.0)</f>
        <v>0</v>
      </c>
      <c r="I29" s="58">
        <f>IFERROR(__xludf.DUMMYFUNCTION("""COMPUTED_VALUE"""),0.0)</f>
        <v>0</v>
      </c>
      <c r="J29" s="58">
        <f>IFERROR(__xludf.DUMMYFUNCTION("""COMPUTED_VALUE"""),2.0)</f>
        <v>2</v>
      </c>
      <c r="K29" s="19">
        <f>IFERROR(__xludf.DUMMYFUNCTION("""COMPUTED_VALUE"""),2.0)</f>
        <v>2</v>
      </c>
      <c r="L29" s="19">
        <f>IFERROR(__xludf.DUMMYFUNCTION("""COMPUTED_VALUE"""),0.0)</f>
        <v>0</v>
      </c>
      <c r="M29" s="19">
        <f>IFERROR(__xludf.DUMMYFUNCTION("""COMPUTED_VALUE"""),0.0)</f>
        <v>0</v>
      </c>
      <c r="N29" s="19">
        <f>IFERROR(__xludf.DUMMYFUNCTION("""COMPUTED_VALUE"""),0.0)</f>
        <v>0</v>
      </c>
      <c r="O29" s="19">
        <f>IFERROR(__xludf.DUMMYFUNCTION("""COMPUTED_VALUE"""),0.0)</f>
        <v>0</v>
      </c>
      <c r="P29" s="19">
        <f>IFERROR(__xludf.DUMMYFUNCTION("""COMPUTED_VALUE"""),0.0)</f>
        <v>0</v>
      </c>
      <c r="Q29" s="4">
        <f>IFERROR(__xludf.DUMMYFUNCTION("""COMPUTED_VALUE"""),0.0)</f>
        <v>0</v>
      </c>
      <c r="R29" s="52"/>
      <c r="S29" s="52"/>
      <c r="T29" s="52"/>
      <c r="U29" s="52"/>
      <c r="V29" s="52"/>
      <c r="W29" s="52"/>
      <c r="X29" s="52"/>
    </row>
    <row r="30">
      <c r="A30" s="56">
        <f>IFERROR(__xludf.DUMMYFUNCTION("""COMPUTED_VALUE"""),28.0)</f>
        <v>28</v>
      </c>
      <c r="B30" s="57" t="str">
        <f>IFERROR(__xludf.DUMMYFUNCTION("""COMPUTED_VALUE"""),"Lemon")</f>
        <v>Lemon</v>
      </c>
      <c r="C30" s="56" t="str">
        <f>IFERROR(__xludf.DUMMYFUNCTION("""COMPUTED_VALUE"""),"VNR Sharbati")</f>
        <v>VNR Sharbati</v>
      </c>
      <c r="D30" s="19" t="str">
        <f>IFERROR(__xludf.DUMMYFUNCTION("""COMPUTED_VALUE"""),"Wedge Graft")</f>
        <v>Wedge Graft</v>
      </c>
      <c r="E30" s="19" t="str">
        <f>IFERROR(__xludf.DUMMYFUNCTION("""COMPUTED_VALUE"""),"Sharbati + JB")</f>
        <v>Sharbati + JB</v>
      </c>
      <c r="F30" s="58">
        <f>IFERROR(__xludf.DUMMYFUNCTION("""COMPUTED_VALUE"""),10.0)</f>
        <v>10</v>
      </c>
      <c r="G30" s="58">
        <f>IFERROR(__xludf.DUMMYFUNCTION("""COMPUTED_VALUE"""),0.0)</f>
        <v>0</v>
      </c>
      <c r="H30" s="58">
        <f>IFERROR(__xludf.DUMMYFUNCTION("""COMPUTED_VALUE"""),0.0)</f>
        <v>0</v>
      </c>
      <c r="I30" s="58">
        <f>IFERROR(__xludf.DUMMYFUNCTION("""COMPUTED_VALUE"""),0.0)</f>
        <v>0</v>
      </c>
      <c r="J30" s="58">
        <f>IFERROR(__xludf.DUMMYFUNCTION("""COMPUTED_VALUE"""),10.0)</f>
        <v>10</v>
      </c>
      <c r="K30" s="19">
        <f>IFERROR(__xludf.DUMMYFUNCTION("""COMPUTED_VALUE"""),10.0)</f>
        <v>10</v>
      </c>
      <c r="L30" s="19">
        <f>IFERROR(__xludf.DUMMYFUNCTION("""COMPUTED_VALUE"""),0.0)</f>
        <v>0</v>
      </c>
      <c r="M30" s="19">
        <f>IFERROR(__xludf.DUMMYFUNCTION("""COMPUTED_VALUE"""),0.0)</f>
        <v>0</v>
      </c>
      <c r="N30" s="19">
        <f>IFERROR(__xludf.DUMMYFUNCTION("""COMPUTED_VALUE"""),0.0)</f>
        <v>0</v>
      </c>
      <c r="O30" s="19">
        <f>IFERROR(__xludf.DUMMYFUNCTION("""COMPUTED_VALUE"""),0.0)</f>
        <v>0</v>
      </c>
      <c r="P30" s="19">
        <f>IFERROR(__xludf.DUMMYFUNCTION("""COMPUTED_VALUE"""),0.0)</f>
        <v>0</v>
      </c>
      <c r="Q30" s="4">
        <f>IFERROR(__xludf.DUMMYFUNCTION("""COMPUTED_VALUE"""),0.0)</f>
        <v>0</v>
      </c>
      <c r="R30" s="52"/>
      <c r="S30" s="52"/>
      <c r="T30" s="52"/>
      <c r="U30" s="52"/>
      <c r="V30" s="52"/>
      <c r="W30" s="52"/>
      <c r="X30" s="52"/>
    </row>
    <row r="31">
      <c r="A31" s="56">
        <f>IFERROR(__xludf.DUMMYFUNCTION("""COMPUTED_VALUE"""),29.0)</f>
        <v>29</v>
      </c>
      <c r="B31" s="57" t="str">
        <f>IFERROR(__xludf.DUMMYFUNCTION("""COMPUTED_VALUE"""),"Lemon")</f>
        <v>Lemon</v>
      </c>
      <c r="C31" s="56" t="str">
        <f>IFERROR(__xludf.DUMMYFUNCTION("""COMPUTED_VALUE"""),"VNR Mahesh")</f>
        <v>VNR Mahesh</v>
      </c>
      <c r="D31" s="19" t="str">
        <f>IFERROR(__xludf.DUMMYFUNCTION("""COMPUTED_VALUE"""),"Wedge Graft")</f>
        <v>Wedge Graft</v>
      </c>
      <c r="E31" s="19"/>
      <c r="F31" s="58">
        <f>IFERROR(__xludf.DUMMYFUNCTION("""COMPUTED_VALUE"""),10.0)</f>
        <v>10</v>
      </c>
      <c r="G31" s="58">
        <f>IFERROR(__xludf.DUMMYFUNCTION("""COMPUTED_VALUE"""),0.0)</f>
        <v>0</v>
      </c>
      <c r="H31" s="58">
        <f>IFERROR(__xludf.DUMMYFUNCTION("""COMPUTED_VALUE"""),0.0)</f>
        <v>0</v>
      </c>
      <c r="I31" s="58">
        <f>IFERROR(__xludf.DUMMYFUNCTION("""COMPUTED_VALUE"""),0.0)</f>
        <v>0</v>
      </c>
      <c r="J31" s="58">
        <f>IFERROR(__xludf.DUMMYFUNCTION("""COMPUTED_VALUE"""),10.0)</f>
        <v>10</v>
      </c>
      <c r="K31" s="19">
        <f>IFERROR(__xludf.DUMMYFUNCTION("""COMPUTED_VALUE"""),10.0)</f>
        <v>10</v>
      </c>
      <c r="L31" s="19">
        <f>IFERROR(__xludf.DUMMYFUNCTION("""COMPUTED_VALUE"""),0.0)</f>
        <v>0</v>
      </c>
      <c r="M31" s="19">
        <f>IFERROR(__xludf.DUMMYFUNCTION("""COMPUTED_VALUE"""),0.0)</f>
        <v>0</v>
      </c>
      <c r="N31" s="19">
        <f>IFERROR(__xludf.DUMMYFUNCTION("""COMPUTED_VALUE"""),0.0)</f>
        <v>0</v>
      </c>
      <c r="O31" s="19">
        <f>IFERROR(__xludf.DUMMYFUNCTION("""COMPUTED_VALUE"""),0.0)</f>
        <v>0</v>
      </c>
      <c r="P31" s="19">
        <f>IFERROR(__xludf.DUMMYFUNCTION("""COMPUTED_VALUE"""),0.0)</f>
        <v>0</v>
      </c>
      <c r="Q31" s="4">
        <f>IFERROR(__xludf.DUMMYFUNCTION("""COMPUTED_VALUE"""),0.0)</f>
        <v>0</v>
      </c>
      <c r="R31" s="52"/>
      <c r="S31" s="52"/>
      <c r="T31" s="52"/>
      <c r="U31" s="52"/>
      <c r="V31" s="52"/>
      <c r="W31" s="52"/>
      <c r="X31" s="52"/>
    </row>
    <row r="32">
      <c r="A32" s="56">
        <f>IFERROR(__xludf.DUMMYFUNCTION("""COMPUTED_VALUE"""),30.0)</f>
        <v>30</v>
      </c>
      <c r="B32" s="57" t="str">
        <f>IFERROR(__xludf.DUMMYFUNCTION("""COMPUTED_VALUE"""),"Lime")</f>
        <v>Lime</v>
      </c>
      <c r="C32" s="56" t="str">
        <f>IFERROR(__xludf.DUMMYFUNCTION("""COMPUTED_VALUE"""),"VNR Parvati")</f>
        <v>VNR Parvati</v>
      </c>
      <c r="D32" s="19" t="str">
        <f>IFERROR(__xludf.DUMMYFUNCTION("""COMPUTED_VALUE"""),"Wedge Graft")</f>
        <v>Wedge Graft</v>
      </c>
      <c r="E32" s="19"/>
      <c r="F32" s="58">
        <f>IFERROR(__xludf.DUMMYFUNCTION("""COMPUTED_VALUE"""),19.0)</f>
        <v>19</v>
      </c>
      <c r="G32" s="58">
        <f>IFERROR(__xludf.DUMMYFUNCTION("""COMPUTED_VALUE"""),0.0)</f>
        <v>0</v>
      </c>
      <c r="H32" s="58">
        <f>IFERROR(__xludf.DUMMYFUNCTION("""COMPUTED_VALUE"""),0.0)</f>
        <v>0</v>
      </c>
      <c r="I32" s="58">
        <f>IFERROR(__xludf.DUMMYFUNCTION("""COMPUTED_VALUE"""),0.0)</f>
        <v>0</v>
      </c>
      <c r="J32" s="58">
        <f>IFERROR(__xludf.DUMMYFUNCTION("""COMPUTED_VALUE"""),19.0)</f>
        <v>19</v>
      </c>
      <c r="K32" s="19">
        <f>IFERROR(__xludf.DUMMYFUNCTION("""COMPUTED_VALUE"""),19.0)</f>
        <v>19</v>
      </c>
      <c r="L32" s="19">
        <f>IFERROR(__xludf.DUMMYFUNCTION("""COMPUTED_VALUE"""),0.0)</f>
        <v>0</v>
      </c>
      <c r="M32" s="19">
        <f>IFERROR(__xludf.DUMMYFUNCTION("""COMPUTED_VALUE"""),0.0)</f>
        <v>0</v>
      </c>
      <c r="N32" s="19">
        <f>IFERROR(__xludf.DUMMYFUNCTION("""COMPUTED_VALUE"""),0.0)</f>
        <v>0</v>
      </c>
      <c r="O32" s="19">
        <f>IFERROR(__xludf.DUMMYFUNCTION("""COMPUTED_VALUE"""),0.0)</f>
        <v>0</v>
      </c>
      <c r="P32" s="19">
        <f>IFERROR(__xludf.DUMMYFUNCTION("""COMPUTED_VALUE"""),0.0)</f>
        <v>0</v>
      </c>
      <c r="Q32" s="4">
        <f>IFERROR(__xludf.DUMMYFUNCTION("""COMPUTED_VALUE"""),0.0)</f>
        <v>0</v>
      </c>
      <c r="R32" s="52"/>
      <c r="S32" s="52"/>
      <c r="T32" s="52"/>
      <c r="U32" s="52"/>
      <c r="V32" s="52"/>
      <c r="W32" s="52"/>
      <c r="X32" s="52"/>
    </row>
    <row r="33">
      <c r="A33" s="56">
        <f>IFERROR(__xludf.DUMMYFUNCTION("""COMPUTED_VALUE"""),31.0)</f>
        <v>31</v>
      </c>
      <c r="B33" s="57" t="str">
        <f>IFERROR(__xludf.DUMMYFUNCTION("""COMPUTED_VALUE"""),"Lime")</f>
        <v>Lime</v>
      </c>
      <c r="C33" s="56" t="str">
        <f>IFERROR(__xludf.DUMMYFUNCTION("""COMPUTED_VALUE"""),"Balaji")</f>
        <v>Balaji</v>
      </c>
      <c r="D33" s="19" t="str">
        <f>IFERROR(__xludf.DUMMYFUNCTION("""COMPUTED_VALUE"""),"Seedling")</f>
        <v>Seedling</v>
      </c>
      <c r="E33" s="19"/>
      <c r="F33" s="58">
        <f>IFERROR(__xludf.DUMMYFUNCTION("""COMPUTED_VALUE"""),461.0)</f>
        <v>461</v>
      </c>
      <c r="G33" s="58">
        <f>IFERROR(__xludf.DUMMYFUNCTION("""COMPUTED_VALUE"""),96.0)</f>
        <v>96</v>
      </c>
      <c r="H33" s="58">
        <f>IFERROR(__xludf.DUMMYFUNCTION("""COMPUTED_VALUE"""),0.0)</f>
        <v>0</v>
      </c>
      <c r="I33" s="58">
        <f>IFERROR(__xludf.DUMMYFUNCTION("""COMPUTED_VALUE"""),0.0)</f>
        <v>0</v>
      </c>
      <c r="J33" s="58">
        <f>IFERROR(__xludf.DUMMYFUNCTION("""COMPUTED_VALUE"""),557.0)</f>
        <v>557</v>
      </c>
      <c r="K33" s="19">
        <f>IFERROR(__xludf.DUMMYFUNCTION("""COMPUTED_VALUE"""),196.0)</f>
        <v>196</v>
      </c>
      <c r="L33" s="19">
        <f>IFERROR(__xludf.DUMMYFUNCTION("""COMPUTED_VALUE"""),60.0)</f>
        <v>60</v>
      </c>
      <c r="M33" s="19">
        <f>IFERROR(__xludf.DUMMYFUNCTION("""COMPUTED_VALUE"""),100.0)</f>
        <v>100</v>
      </c>
      <c r="N33" s="19">
        <f>IFERROR(__xludf.DUMMYFUNCTION("""COMPUTED_VALUE"""),201.0)</f>
        <v>201</v>
      </c>
      <c r="O33" s="19">
        <f>IFERROR(__xludf.DUMMYFUNCTION("""COMPUTED_VALUE"""),0.0)</f>
        <v>0</v>
      </c>
      <c r="P33" s="19">
        <f>IFERROR(__xludf.DUMMYFUNCTION("""COMPUTED_VALUE"""),0.0)</f>
        <v>0</v>
      </c>
      <c r="Q33" s="4">
        <f>IFERROR(__xludf.DUMMYFUNCTION("""COMPUTED_VALUE"""),0.0)</f>
        <v>0</v>
      </c>
      <c r="R33" s="52"/>
      <c r="S33" s="52"/>
      <c r="T33" s="52"/>
      <c r="U33" s="52"/>
      <c r="V33" s="52"/>
      <c r="W33" s="52"/>
      <c r="X33" s="52"/>
    </row>
    <row r="34">
      <c r="A34" s="56">
        <f>IFERROR(__xludf.DUMMYFUNCTION("""COMPUTED_VALUE"""),32.0)</f>
        <v>32</v>
      </c>
      <c r="B34" s="57" t="str">
        <f>IFERROR(__xludf.DUMMYFUNCTION("""COMPUTED_VALUE"""),"Lime")</f>
        <v>Lime</v>
      </c>
      <c r="C34" s="56" t="str">
        <f>IFERROR(__xludf.DUMMYFUNCTION("""COMPUTED_VALUE"""),"VNR Rasvanti")</f>
        <v>VNR Rasvanti</v>
      </c>
      <c r="D34" s="19" t="str">
        <f>IFERROR(__xludf.DUMMYFUNCTION("""COMPUTED_VALUE"""),"Wedge Graft")</f>
        <v>Wedge Graft</v>
      </c>
      <c r="E34" s="19"/>
      <c r="F34" s="58">
        <f>IFERROR(__xludf.DUMMYFUNCTION("""COMPUTED_VALUE"""),0.0)</f>
        <v>0</v>
      </c>
      <c r="G34" s="58">
        <f>IFERROR(__xludf.DUMMYFUNCTION("""COMPUTED_VALUE"""),75.0)</f>
        <v>75</v>
      </c>
      <c r="H34" s="58">
        <f>IFERROR(__xludf.DUMMYFUNCTION("""COMPUTED_VALUE"""),3.0)</f>
        <v>3</v>
      </c>
      <c r="I34" s="58">
        <f>IFERROR(__xludf.DUMMYFUNCTION("""COMPUTED_VALUE"""),0.0)</f>
        <v>0</v>
      </c>
      <c r="J34" s="58">
        <f>IFERROR(__xludf.DUMMYFUNCTION("""COMPUTED_VALUE"""),72.0)</f>
        <v>72</v>
      </c>
      <c r="K34" s="19">
        <f>IFERROR(__xludf.DUMMYFUNCTION("""COMPUTED_VALUE"""),72.0)</f>
        <v>72</v>
      </c>
      <c r="L34" s="19">
        <f>IFERROR(__xludf.DUMMYFUNCTION("""COMPUTED_VALUE"""),0.0)</f>
        <v>0</v>
      </c>
      <c r="M34" s="19">
        <f>IFERROR(__xludf.DUMMYFUNCTION("""COMPUTED_VALUE"""),0.0)</f>
        <v>0</v>
      </c>
      <c r="N34" s="19">
        <f>IFERROR(__xludf.DUMMYFUNCTION("""COMPUTED_VALUE"""),0.0)</f>
        <v>0</v>
      </c>
      <c r="O34" s="19">
        <f>IFERROR(__xludf.DUMMYFUNCTION("""COMPUTED_VALUE"""),0.0)</f>
        <v>0</v>
      </c>
      <c r="P34" s="19">
        <f>IFERROR(__xludf.DUMMYFUNCTION("""COMPUTED_VALUE"""),0.0)</f>
        <v>0</v>
      </c>
      <c r="Q34" s="4">
        <f>IFERROR(__xludf.DUMMYFUNCTION("""COMPUTED_VALUE"""),0.0)</f>
        <v>0</v>
      </c>
      <c r="R34" s="52"/>
      <c r="S34" s="52"/>
      <c r="T34" s="52"/>
      <c r="U34" s="52"/>
      <c r="V34" s="52"/>
      <c r="W34" s="52"/>
      <c r="X34" s="52"/>
    </row>
    <row r="35">
      <c r="A35" s="56">
        <f>IFERROR(__xludf.DUMMYFUNCTION("""COMPUTED_VALUE"""),33.0)</f>
        <v>33</v>
      </c>
      <c r="B35" s="57" t="str">
        <f>IFERROR(__xludf.DUMMYFUNCTION("""COMPUTED_VALUE"""),"Lime")</f>
        <v>Lime</v>
      </c>
      <c r="C35" s="56" t="str">
        <f>IFERROR(__xludf.DUMMYFUNCTION("""COMPUTED_VALUE"""),"VNR-1")</f>
        <v>VNR-1</v>
      </c>
      <c r="D35" s="19" t="str">
        <f>IFERROR(__xludf.DUMMYFUNCTION("""COMPUTED_VALUE"""),"Seedling")</f>
        <v>Seedling</v>
      </c>
      <c r="E35" s="19"/>
      <c r="F35" s="58"/>
      <c r="G35" s="58">
        <f>IFERROR(__xludf.DUMMYFUNCTION("""COMPUTED_VALUE"""),0.0)</f>
        <v>0</v>
      </c>
      <c r="H35" s="58">
        <f>IFERROR(__xludf.DUMMYFUNCTION("""COMPUTED_VALUE"""),0.0)</f>
        <v>0</v>
      </c>
      <c r="I35" s="58">
        <f>IFERROR(__xludf.DUMMYFUNCTION("""COMPUTED_VALUE"""),0.0)</f>
        <v>0</v>
      </c>
      <c r="J35" s="58">
        <f>IFERROR(__xludf.DUMMYFUNCTION("""COMPUTED_VALUE"""),0.0)</f>
        <v>0</v>
      </c>
      <c r="K35" s="19">
        <f>IFERROR(__xludf.DUMMYFUNCTION("""COMPUTED_VALUE"""),0.0)</f>
        <v>0</v>
      </c>
      <c r="L35" s="19">
        <f>IFERROR(__xludf.DUMMYFUNCTION("""COMPUTED_VALUE"""),0.0)</f>
        <v>0</v>
      </c>
      <c r="M35" s="19">
        <f>IFERROR(__xludf.DUMMYFUNCTION("""COMPUTED_VALUE"""),0.0)</f>
        <v>0</v>
      </c>
      <c r="N35" s="19">
        <f>IFERROR(__xludf.DUMMYFUNCTION("""COMPUTED_VALUE"""),0.0)</f>
        <v>0</v>
      </c>
      <c r="O35" s="19">
        <f>IFERROR(__xludf.DUMMYFUNCTION("""COMPUTED_VALUE"""),0.0)</f>
        <v>0</v>
      </c>
      <c r="P35" s="19">
        <f>IFERROR(__xludf.DUMMYFUNCTION("""COMPUTED_VALUE"""),0.0)</f>
        <v>0</v>
      </c>
      <c r="Q35" s="4">
        <f>IFERROR(__xludf.DUMMYFUNCTION("""COMPUTED_VALUE"""),0.0)</f>
        <v>0</v>
      </c>
      <c r="R35" s="52"/>
      <c r="S35" s="52"/>
      <c r="T35" s="52"/>
      <c r="U35" s="52"/>
      <c r="V35" s="52"/>
      <c r="W35" s="52"/>
      <c r="X35" s="52"/>
    </row>
    <row r="36">
      <c r="A36" s="56">
        <f>IFERROR(__xludf.DUMMYFUNCTION("""COMPUTED_VALUE"""),34.0)</f>
        <v>34</v>
      </c>
      <c r="B36" s="57" t="str">
        <f>IFERROR(__xludf.DUMMYFUNCTION("""COMPUTED_VALUE"""),"Lime")</f>
        <v>Lime</v>
      </c>
      <c r="C36" s="56" t="str">
        <f>IFERROR(__xludf.DUMMYFUNCTION("""COMPUTED_VALUE"""),"VNR Sameer")</f>
        <v>VNR Sameer</v>
      </c>
      <c r="D36" s="19" t="str">
        <f>IFERROR(__xludf.DUMMYFUNCTION("""COMPUTED_VALUE"""),"Wedge Graft")</f>
        <v>Wedge Graft</v>
      </c>
      <c r="E36" s="19"/>
      <c r="F36" s="58">
        <f>IFERROR(__xludf.DUMMYFUNCTION("""COMPUTED_VALUE"""),120.0)</f>
        <v>120</v>
      </c>
      <c r="G36" s="58">
        <f>IFERROR(__xludf.DUMMYFUNCTION("""COMPUTED_VALUE"""),0.0)</f>
        <v>0</v>
      </c>
      <c r="H36" s="58">
        <f>IFERROR(__xludf.DUMMYFUNCTION("""COMPUTED_VALUE"""),0.0)</f>
        <v>0</v>
      </c>
      <c r="I36" s="58">
        <f>IFERROR(__xludf.DUMMYFUNCTION("""COMPUTED_VALUE"""),0.0)</f>
        <v>0</v>
      </c>
      <c r="J36" s="58">
        <f>IFERROR(__xludf.DUMMYFUNCTION("""COMPUTED_VALUE"""),120.0)</f>
        <v>120</v>
      </c>
      <c r="K36" s="19">
        <f>IFERROR(__xludf.DUMMYFUNCTION("""COMPUTED_VALUE"""),120.0)</f>
        <v>120</v>
      </c>
      <c r="L36" s="19">
        <f>IFERROR(__xludf.DUMMYFUNCTION("""COMPUTED_VALUE"""),0.0)</f>
        <v>0</v>
      </c>
      <c r="M36" s="19">
        <f>IFERROR(__xludf.DUMMYFUNCTION("""COMPUTED_VALUE"""),0.0)</f>
        <v>0</v>
      </c>
      <c r="N36" s="19">
        <f>IFERROR(__xludf.DUMMYFUNCTION("""COMPUTED_VALUE"""),0.0)</f>
        <v>0</v>
      </c>
      <c r="O36" s="19">
        <f>IFERROR(__xludf.DUMMYFUNCTION("""COMPUTED_VALUE"""),0.0)</f>
        <v>0</v>
      </c>
      <c r="P36" s="19">
        <f>IFERROR(__xludf.DUMMYFUNCTION("""COMPUTED_VALUE"""),0.0)</f>
        <v>0</v>
      </c>
      <c r="Q36" s="4">
        <f>IFERROR(__xludf.DUMMYFUNCTION("""COMPUTED_VALUE"""),0.0)</f>
        <v>0</v>
      </c>
      <c r="R36" s="52"/>
      <c r="S36" s="52"/>
      <c r="T36" s="52"/>
      <c r="U36" s="52"/>
      <c r="V36" s="52"/>
      <c r="W36" s="52"/>
      <c r="X36" s="52"/>
    </row>
    <row r="37">
      <c r="A37" s="56">
        <f>IFERROR(__xludf.DUMMYFUNCTION("""COMPUTED_VALUE"""),35.0)</f>
        <v>35</v>
      </c>
      <c r="B37" s="57" t="str">
        <f>IFERROR(__xludf.DUMMYFUNCTION("""COMPUTED_VALUE"""),"Mosambi")</f>
        <v>Mosambi</v>
      </c>
      <c r="C37" s="56" t="str">
        <f>IFERROR(__xludf.DUMMYFUNCTION("""COMPUTED_VALUE"""),"Katol Gold")</f>
        <v>Katol Gold</v>
      </c>
      <c r="D37" s="19" t="str">
        <f>IFERROR(__xludf.DUMMYFUNCTION("""COMPUTED_VALUE"""),"Wedge Graft")</f>
        <v>Wedge Graft</v>
      </c>
      <c r="E37" s="19" t="str">
        <f>IFERROR(__xludf.DUMMYFUNCTION("""COMPUTED_VALUE"""),"Katol Gold + JB")</f>
        <v>Katol Gold + JB</v>
      </c>
      <c r="F37" s="58">
        <f>IFERROR(__xludf.DUMMYFUNCTION("""COMPUTED_VALUE"""),11.0)</f>
        <v>11</v>
      </c>
      <c r="G37" s="58">
        <f>IFERROR(__xludf.DUMMYFUNCTION("""COMPUTED_VALUE"""),0.0)</f>
        <v>0</v>
      </c>
      <c r="H37" s="58">
        <f>IFERROR(__xludf.DUMMYFUNCTION("""COMPUTED_VALUE"""),0.0)</f>
        <v>0</v>
      </c>
      <c r="I37" s="58">
        <f>IFERROR(__xludf.DUMMYFUNCTION("""COMPUTED_VALUE"""),0.0)</f>
        <v>0</v>
      </c>
      <c r="J37" s="58">
        <f>IFERROR(__xludf.DUMMYFUNCTION("""COMPUTED_VALUE"""),11.0)</f>
        <v>11</v>
      </c>
      <c r="K37" s="19">
        <f>IFERROR(__xludf.DUMMYFUNCTION("""COMPUTED_VALUE"""),11.0)</f>
        <v>11</v>
      </c>
      <c r="L37" s="19">
        <f>IFERROR(__xludf.DUMMYFUNCTION("""COMPUTED_VALUE"""),0.0)</f>
        <v>0</v>
      </c>
      <c r="M37" s="19">
        <f>IFERROR(__xludf.DUMMYFUNCTION("""COMPUTED_VALUE"""),0.0)</f>
        <v>0</v>
      </c>
      <c r="N37" s="19">
        <f>IFERROR(__xludf.DUMMYFUNCTION("""COMPUTED_VALUE"""),0.0)</f>
        <v>0</v>
      </c>
      <c r="O37" s="19">
        <f>IFERROR(__xludf.DUMMYFUNCTION("""COMPUTED_VALUE"""),0.0)</f>
        <v>0</v>
      </c>
      <c r="P37" s="19">
        <f>IFERROR(__xludf.DUMMYFUNCTION("""COMPUTED_VALUE"""),0.0)</f>
        <v>0</v>
      </c>
      <c r="Q37" s="4">
        <f>IFERROR(__xludf.DUMMYFUNCTION("""COMPUTED_VALUE"""),0.0)</f>
        <v>0</v>
      </c>
      <c r="R37" s="52"/>
      <c r="S37" s="52"/>
      <c r="T37" s="52"/>
      <c r="U37" s="52"/>
      <c r="V37" s="52"/>
      <c r="W37" s="52"/>
      <c r="X37" s="52"/>
    </row>
    <row r="38">
      <c r="A38" s="56">
        <f>IFERROR(__xludf.DUMMYFUNCTION("""COMPUTED_VALUE"""),36.0)</f>
        <v>36</v>
      </c>
      <c r="B38" s="57" t="str">
        <f>IFERROR(__xludf.DUMMYFUNCTION("""COMPUTED_VALUE"""),"Mosambi")</f>
        <v>Mosambi</v>
      </c>
      <c r="C38" s="56" t="str">
        <f>IFERROR(__xludf.DUMMYFUNCTION("""COMPUTED_VALUE"""),"Nucellar")</f>
        <v>Nucellar</v>
      </c>
      <c r="D38" s="19" t="str">
        <f>IFERROR(__xludf.DUMMYFUNCTION("""COMPUTED_VALUE"""),"Wedge Graft")</f>
        <v>Wedge Graft</v>
      </c>
      <c r="E38" s="19" t="str">
        <f>IFERROR(__xludf.DUMMYFUNCTION("""COMPUTED_VALUE"""),"Nuceller + KK")</f>
        <v>Nuceller + KK</v>
      </c>
      <c r="F38" s="19">
        <f>IFERROR(__xludf.DUMMYFUNCTION("""COMPUTED_VALUE"""),50.0)</f>
        <v>50</v>
      </c>
      <c r="G38" s="19">
        <f>IFERROR(__xludf.DUMMYFUNCTION("""COMPUTED_VALUE"""),84.0)</f>
        <v>84</v>
      </c>
      <c r="H38" s="19">
        <f>IFERROR(__xludf.DUMMYFUNCTION("""COMPUTED_VALUE"""),40.0)</f>
        <v>40</v>
      </c>
      <c r="I38" s="19">
        <f>IFERROR(__xludf.DUMMYFUNCTION("""COMPUTED_VALUE"""),0.0)</f>
        <v>0</v>
      </c>
      <c r="J38" s="19">
        <f>IFERROR(__xludf.DUMMYFUNCTION("""COMPUTED_VALUE"""),94.0)</f>
        <v>94</v>
      </c>
      <c r="K38" s="19">
        <f>IFERROR(__xludf.DUMMYFUNCTION("""COMPUTED_VALUE"""),84.0)</f>
        <v>84</v>
      </c>
      <c r="L38" s="19">
        <f>IFERROR(__xludf.DUMMYFUNCTION("""COMPUTED_VALUE"""),10.0)</f>
        <v>10</v>
      </c>
      <c r="M38" s="19">
        <f>IFERROR(__xludf.DUMMYFUNCTION("""COMPUTED_VALUE"""),0.0)</f>
        <v>0</v>
      </c>
      <c r="N38" s="19">
        <f>IFERROR(__xludf.DUMMYFUNCTION("""COMPUTED_VALUE"""),0.0)</f>
        <v>0</v>
      </c>
      <c r="O38" s="19">
        <f>IFERROR(__xludf.DUMMYFUNCTION("""COMPUTED_VALUE"""),0.0)</f>
        <v>0</v>
      </c>
      <c r="P38" s="19">
        <f>IFERROR(__xludf.DUMMYFUNCTION("""COMPUTED_VALUE"""),0.0)</f>
        <v>0</v>
      </c>
      <c r="Q38" s="4">
        <f>IFERROR(__xludf.DUMMYFUNCTION("""COMPUTED_VALUE"""),0.0)</f>
        <v>0</v>
      </c>
      <c r="R38" s="52"/>
      <c r="S38" s="52"/>
      <c r="T38" s="52"/>
      <c r="U38" s="52"/>
      <c r="V38" s="52"/>
      <c r="W38" s="52"/>
      <c r="X38" s="52"/>
    </row>
    <row r="39">
      <c r="A39" s="56">
        <f>IFERROR(__xludf.DUMMYFUNCTION("""COMPUTED_VALUE"""),37.0)</f>
        <v>37</v>
      </c>
      <c r="B39" s="57" t="str">
        <f>IFERROR(__xludf.DUMMYFUNCTION("""COMPUTED_VALUE"""),"Mulberry")</f>
        <v>Mulberry</v>
      </c>
      <c r="C39" s="56" t="str">
        <f>IFERROR(__xludf.DUMMYFUNCTION("""COMPUTED_VALUE"""),"Long Purple")</f>
        <v>Long Purple</v>
      </c>
      <c r="D39" s="19" t="str">
        <f>IFERROR(__xludf.DUMMYFUNCTION("""COMPUTED_VALUE"""),"Cutting")</f>
        <v>Cutting</v>
      </c>
      <c r="E39" s="19" t="str">
        <f>IFERROR(__xludf.DUMMYFUNCTION("""COMPUTED_VALUE"""),"-")</f>
        <v>-</v>
      </c>
      <c r="F39" s="19">
        <f>IFERROR(__xludf.DUMMYFUNCTION("""COMPUTED_VALUE"""),536.0)</f>
        <v>536</v>
      </c>
      <c r="G39" s="19">
        <f>IFERROR(__xludf.DUMMYFUNCTION("""COMPUTED_VALUE"""),0.0)</f>
        <v>0</v>
      </c>
      <c r="H39" s="19">
        <f>IFERROR(__xludf.DUMMYFUNCTION("""COMPUTED_VALUE"""),20.0)</f>
        <v>20</v>
      </c>
      <c r="I39" s="19">
        <f>IFERROR(__xludf.DUMMYFUNCTION("""COMPUTED_VALUE"""),0.0)</f>
        <v>0</v>
      </c>
      <c r="J39" s="19">
        <f>IFERROR(__xludf.DUMMYFUNCTION("""COMPUTED_VALUE"""),516.0)</f>
        <v>516</v>
      </c>
      <c r="K39" s="19">
        <f>IFERROR(__xludf.DUMMYFUNCTION("""COMPUTED_VALUE"""),380.0)</f>
        <v>380</v>
      </c>
      <c r="L39" s="19">
        <f>IFERROR(__xludf.DUMMYFUNCTION("""COMPUTED_VALUE"""),50.0)</f>
        <v>50</v>
      </c>
      <c r="M39" s="19">
        <f>IFERROR(__xludf.DUMMYFUNCTION("""COMPUTED_VALUE"""),0.0)</f>
        <v>0</v>
      </c>
      <c r="N39" s="19">
        <f>IFERROR(__xludf.DUMMYFUNCTION("""COMPUTED_VALUE"""),0.0)</f>
        <v>0</v>
      </c>
      <c r="O39" s="19">
        <f>IFERROR(__xludf.DUMMYFUNCTION("""COMPUTED_VALUE"""),0.0)</f>
        <v>0</v>
      </c>
      <c r="P39" s="19">
        <f>IFERROR(__xludf.DUMMYFUNCTION("""COMPUTED_VALUE"""),0.0)</f>
        <v>0</v>
      </c>
      <c r="Q39" s="4">
        <f>IFERROR(__xludf.DUMMYFUNCTION("""COMPUTED_VALUE"""),86.0)</f>
        <v>86</v>
      </c>
      <c r="R39" s="52"/>
      <c r="S39" s="52"/>
      <c r="T39" s="52"/>
      <c r="U39" s="52"/>
      <c r="V39" s="52"/>
      <c r="W39" s="52"/>
      <c r="X39" s="52"/>
    </row>
    <row r="40">
      <c r="A40" s="56">
        <f>IFERROR(__xludf.DUMMYFUNCTION("""COMPUTED_VALUE"""),38.0)</f>
        <v>38</v>
      </c>
      <c r="B40" s="57" t="str">
        <f>IFERROR(__xludf.DUMMYFUNCTION("""COMPUTED_VALUE"""),"Pumello")</f>
        <v>Pumello</v>
      </c>
      <c r="C40" s="56" t="str">
        <f>IFERROR(__xludf.DUMMYFUNCTION("""COMPUTED_VALUE"""),"VNR Amber")</f>
        <v>VNR Amber</v>
      </c>
      <c r="D40" s="19" t="str">
        <f>IFERROR(__xludf.DUMMYFUNCTION("""COMPUTED_VALUE"""),"Wedge Graft")</f>
        <v>Wedge Graft</v>
      </c>
      <c r="E40" s="19" t="str">
        <f>IFERROR(__xludf.DUMMYFUNCTION("""COMPUTED_VALUE"""),"VNR Crystal + NC")</f>
        <v>VNR Crystal + NC</v>
      </c>
      <c r="F40" s="19">
        <f>IFERROR(__xludf.DUMMYFUNCTION("""COMPUTED_VALUE"""),0.0)</f>
        <v>0</v>
      </c>
      <c r="G40" s="19">
        <f>IFERROR(__xludf.DUMMYFUNCTION("""COMPUTED_VALUE"""),0.0)</f>
        <v>0</v>
      </c>
      <c r="H40" s="19">
        <f>IFERROR(__xludf.DUMMYFUNCTION("""COMPUTED_VALUE"""),0.0)</f>
        <v>0</v>
      </c>
      <c r="I40" s="19">
        <f>IFERROR(__xludf.DUMMYFUNCTION("""COMPUTED_VALUE"""),0.0)</f>
        <v>0</v>
      </c>
      <c r="J40" s="19">
        <f>IFERROR(__xludf.DUMMYFUNCTION("""COMPUTED_VALUE"""),0.0)</f>
        <v>0</v>
      </c>
      <c r="K40" s="19">
        <f>IFERROR(__xludf.DUMMYFUNCTION("""COMPUTED_VALUE"""),0.0)</f>
        <v>0</v>
      </c>
      <c r="L40" s="19">
        <f>IFERROR(__xludf.DUMMYFUNCTION("""COMPUTED_VALUE"""),0.0)</f>
        <v>0</v>
      </c>
      <c r="M40" s="19">
        <f>IFERROR(__xludf.DUMMYFUNCTION("""COMPUTED_VALUE"""),0.0)</f>
        <v>0</v>
      </c>
      <c r="N40" s="19">
        <f>IFERROR(__xludf.DUMMYFUNCTION("""COMPUTED_VALUE"""),0.0)</f>
        <v>0</v>
      </c>
      <c r="O40" s="19">
        <f>IFERROR(__xludf.DUMMYFUNCTION("""COMPUTED_VALUE"""),0.0)</f>
        <v>0</v>
      </c>
      <c r="P40" s="19">
        <f>IFERROR(__xludf.DUMMYFUNCTION("""COMPUTED_VALUE"""),0.0)</f>
        <v>0</v>
      </c>
      <c r="Q40" s="4">
        <f>IFERROR(__xludf.DUMMYFUNCTION("""COMPUTED_VALUE"""),0.0)</f>
        <v>0</v>
      </c>
      <c r="R40" s="52"/>
      <c r="S40" s="52"/>
      <c r="T40" s="52"/>
      <c r="U40" s="52"/>
      <c r="V40" s="52"/>
      <c r="W40" s="52"/>
      <c r="X40" s="52"/>
    </row>
    <row r="41">
      <c r="A41" s="56">
        <f>IFERROR(__xludf.DUMMYFUNCTION("""COMPUTED_VALUE"""),39.0)</f>
        <v>39</v>
      </c>
      <c r="B41" s="57" t="str">
        <f>IFERROR(__xludf.DUMMYFUNCTION("""COMPUTED_VALUE"""),"Pumello")</f>
        <v>Pumello</v>
      </c>
      <c r="C41" s="56" t="str">
        <f>IFERROR(__xludf.DUMMYFUNCTION("""COMPUTED_VALUE"""),"VNR Crystal")</f>
        <v>VNR Crystal</v>
      </c>
      <c r="D41" s="19" t="str">
        <f>IFERROR(__xludf.DUMMYFUNCTION("""COMPUTED_VALUE"""),"Wedge Graft")</f>
        <v>Wedge Graft</v>
      </c>
      <c r="E41" s="19" t="str">
        <f>IFERROR(__xludf.DUMMYFUNCTION("""COMPUTED_VALUE"""),"VNR Madhur + BN")</f>
        <v>VNR Madhur + BN</v>
      </c>
      <c r="F41" s="19">
        <f>IFERROR(__xludf.DUMMYFUNCTION("""COMPUTED_VALUE"""),945.0)</f>
        <v>945</v>
      </c>
      <c r="G41" s="19">
        <f>IFERROR(__xludf.DUMMYFUNCTION("""COMPUTED_VALUE"""),0.0)</f>
        <v>0</v>
      </c>
      <c r="H41" s="19">
        <f>IFERROR(__xludf.DUMMYFUNCTION("""COMPUTED_VALUE"""),1.0)</f>
        <v>1</v>
      </c>
      <c r="I41" s="19">
        <f>IFERROR(__xludf.DUMMYFUNCTION("""COMPUTED_VALUE"""),0.0)</f>
        <v>0</v>
      </c>
      <c r="J41" s="19">
        <f>IFERROR(__xludf.DUMMYFUNCTION("""COMPUTED_VALUE"""),944.0)</f>
        <v>944</v>
      </c>
      <c r="K41" s="19">
        <f>IFERROR(__xludf.DUMMYFUNCTION("""COMPUTED_VALUE"""),604.0)</f>
        <v>604</v>
      </c>
      <c r="L41" s="19">
        <f>IFERROR(__xludf.DUMMYFUNCTION("""COMPUTED_VALUE"""),296.0)</f>
        <v>296</v>
      </c>
      <c r="M41" s="19">
        <f>IFERROR(__xludf.DUMMYFUNCTION("""COMPUTED_VALUE"""),0.0)</f>
        <v>0</v>
      </c>
      <c r="N41" s="19">
        <f>IFERROR(__xludf.DUMMYFUNCTION("""COMPUTED_VALUE"""),0.0)</f>
        <v>0</v>
      </c>
      <c r="O41" s="19">
        <f>IFERROR(__xludf.DUMMYFUNCTION("""COMPUTED_VALUE"""),0.0)</f>
        <v>0</v>
      </c>
      <c r="P41" s="19">
        <f>IFERROR(__xludf.DUMMYFUNCTION("""COMPUTED_VALUE"""),0.0)</f>
        <v>0</v>
      </c>
      <c r="Q41" s="4">
        <f>IFERROR(__xludf.DUMMYFUNCTION("""COMPUTED_VALUE"""),44.0)</f>
        <v>44</v>
      </c>
      <c r="R41" s="52"/>
      <c r="S41" s="52"/>
      <c r="T41" s="52"/>
      <c r="U41" s="52"/>
      <c r="V41" s="52"/>
      <c r="W41" s="52"/>
      <c r="X41" s="52"/>
    </row>
    <row r="42">
      <c r="A42" s="56">
        <f>IFERROR(__xludf.DUMMYFUNCTION("""COMPUTED_VALUE"""),40.0)</f>
        <v>40</v>
      </c>
      <c r="B42" s="57" t="str">
        <f>IFERROR(__xludf.DUMMYFUNCTION("""COMPUTED_VALUE"""),"Sitaphal")</f>
        <v>Sitaphal</v>
      </c>
      <c r="C42" s="56" t="str">
        <f>IFERROR(__xludf.DUMMYFUNCTION("""COMPUTED_VALUE"""),"VNR Madhur")</f>
        <v>VNR Madhur</v>
      </c>
      <c r="D42" s="19" t="str">
        <f>IFERROR(__xludf.DUMMYFUNCTION("""COMPUTED_VALUE"""),"Wedge Graft")</f>
        <v>Wedge Graft</v>
      </c>
      <c r="E42" s="19" t="str">
        <f>IFERROR(__xludf.DUMMYFUNCTION("""COMPUTED_VALUE"""),"VNR Uttam + BN")</f>
        <v>VNR Uttam + BN</v>
      </c>
      <c r="F42" s="19">
        <f>IFERROR(__xludf.DUMMYFUNCTION("""COMPUTED_VALUE"""),715.0)</f>
        <v>715</v>
      </c>
      <c r="G42" s="19">
        <f>IFERROR(__xludf.DUMMYFUNCTION("""COMPUTED_VALUE"""),0.0)</f>
        <v>0</v>
      </c>
      <c r="H42" s="19">
        <f>IFERROR(__xludf.DUMMYFUNCTION("""COMPUTED_VALUE"""),3.0)</f>
        <v>3</v>
      </c>
      <c r="I42" s="19">
        <f>IFERROR(__xludf.DUMMYFUNCTION("""COMPUTED_VALUE"""),0.0)</f>
        <v>0</v>
      </c>
      <c r="J42" s="19">
        <f>IFERROR(__xludf.DUMMYFUNCTION("""COMPUTED_VALUE"""),712.0)</f>
        <v>712</v>
      </c>
      <c r="K42" s="19">
        <f>IFERROR(__xludf.DUMMYFUNCTION("""COMPUTED_VALUE"""),-3.0)</f>
        <v>-3</v>
      </c>
      <c r="L42" s="19">
        <f>IFERROR(__xludf.DUMMYFUNCTION("""COMPUTED_VALUE"""),0.0)</f>
        <v>0</v>
      </c>
      <c r="M42" s="19">
        <f>IFERROR(__xludf.DUMMYFUNCTION("""COMPUTED_VALUE"""),500.0)</f>
        <v>500</v>
      </c>
      <c r="N42" s="19">
        <f>IFERROR(__xludf.DUMMYFUNCTION("""COMPUTED_VALUE"""),215.0)</f>
        <v>215</v>
      </c>
      <c r="O42" s="19">
        <f>IFERROR(__xludf.DUMMYFUNCTION("""COMPUTED_VALUE"""),0.0)</f>
        <v>0</v>
      </c>
      <c r="P42" s="19">
        <f>IFERROR(__xludf.DUMMYFUNCTION("""COMPUTED_VALUE"""),0.0)</f>
        <v>0</v>
      </c>
      <c r="Q42" s="4">
        <f>IFERROR(__xludf.DUMMYFUNCTION("""COMPUTED_VALUE"""),0.0)</f>
        <v>0</v>
      </c>
      <c r="R42" s="52"/>
      <c r="S42" s="52"/>
      <c r="T42" s="52"/>
      <c r="U42" s="52"/>
      <c r="V42" s="52"/>
      <c r="W42" s="52"/>
      <c r="X42" s="52"/>
    </row>
    <row r="43">
      <c r="A43" s="56">
        <f>IFERROR(__xludf.DUMMYFUNCTION("""COMPUTED_VALUE"""),41.0)</f>
        <v>41</v>
      </c>
      <c r="B43" s="57" t="str">
        <f>IFERROR(__xludf.DUMMYFUNCTION("""COMPUTED_VALUE"""),"Sitaphal")</f>
        <v>Sitaphal</v>
      </c>
      <c r="C43" s="56" t="str">
        <f>IFERROR(__xludf.DUMMYFUNCTION("""COMPUTED_VALUE"""),"VNR Uttam")</f>
        <v>VNR Uttam</v>
      </c>
      <c r="D43" s="19" t="str">
        <f>IFERROR(__xludf.DUMMYFUNCTION("""COMPUTED_VALUE"""),"Wedge Graft")</f>
        <v>Wedge Graft</v>
      </c>
      <c r="E43" s="19"/>
      <c r="F43" s="19">
        <f>IFERROR(__xludf.DUMMYFUNCTION("""COMPUTED_VALUE"""),130.0)</f>
        <v>130</v>
      </c>
      <c r="G43" s="19">
        <f>IFERROR(__xludf.DUMMYFUNCTION("""COMPUTED_VALUE"""),0.0)</f>
        <v>0</v>
      </c>
      <c r="H43" s="19">
        <f>IFERROR(__xludf.DUMMYFUNCTION("""COMPUTED_VALUE"""),0.0)</f>
        <v>0</v>
      </c>
      <c r="I43" s="19">
        <f>IFERROR(__xludf.DUMMYFUNCTION("""COMPUTED_VALUE"""),0.0)</f>
        <v>0</v>
      </c>
      <c r="J43" s="19">
        <f>IFERROR(__xludf.DUMMYFUNCTION("""COMPUTED_VALUE"""),130.0)</f>
        <v>130</v>
      </c>
      <c r="K43" s="19">
        <f>IFERROR(__xludf.DUMMYFUNCTION("""COMPUTED_VALUE"""),50.0)</f>
        <v>50</v>
      </c>
      <c r="L43" s="19">
        <f>IFERROR(__xludf.DUMMYFUNCTION("""COMPUTED_VALUE"""),50.0)</f>
        <v>50</v>
      </c>
      <c r="M43" s="19">
        <f>IFERROR(__xludf.DUMMYFUNCTION("""COMPUTED_VALUE"""),0.0)</f>
        <v>0</v>
      </c>
      <c r="N43" s="19">
        <f>IFERROR(__xludf.DUMMYFUNCTION("""COMPUTED_VALUE"""),0.0)</f>
        <v>0</v>
      </c>
      <c r="O43" s="19">
        <f>IFERROR(__xludf.DUMMYFUNCTION("""COMPUTED_VALUE"""),0.0)</f>
        <v>0</v>
      </c>
      <c r="P43" s="19">
        <f>IFERROR(__xludf.DUMMYFUNCTION("""COMPUTED_VALUE"""),0.0)</f>
        <v>0</v>
      </c>
      <c r="Q43" s="4">
        <f>IFERROR(__xludf.DUMMYFUNCTION("""COMPUTED_VALUE"""),30.0)</f>
        <v>30</v>
      </c>
      <c r="R43" s="52"/>
      <c r="S43" s="52"/>
      <c r="T43" s="52"/>
      <c r="U43" s="52"/>
      <c r="V43" s="52"/>
      <c r="W43" s="52"/>
      <c r="X43" s="52"/>
    </row>
    <row r="44">
      <c r="A44" s="56">
        <f>IFERROR(__xludf.DUMMYFUNCTION("""COMPUTED_VALUE"""),42.0)</f>
        <v>42</v>
      </c>
      <c r="B44" s="57" t="str">
        <f>IFERROR(__xludf.DUMMYFUNCTION("""COMPUTED_VALUE"""),"Wax Apple")</f>
        <v>Wax Apple</v>
      </c>
      <c r="C44" s="56" t="str">
        <f>IFERROR(__xludf.DUMMYFUNCTION("""COMPUTED_VALUE"""),"VNR Maroon")</f>
        <v>VNR Maroon</v>
      </c>
      <c r="D44" s="19" t="str">
        <f>IFERROR(__xludf.DUMMYFUNCTION("""COMPUTED_VALUE"""),"Air layering")</f>
        <v>Air layering</v>
      </c>
      <c r="E44" s="19"/>
      <c r="F44" s="19">
        <f>IFERROR(__xludf.DUMMYFUNCTION("""COMPUTED_VALUE"""),76.0)</f>
        <v>76</v>
      </c>
      <c r="G44" s="19">
        <f>IFERROR(__xludf.DUMMYFUNCTION("""COMPUTED_VALUE"""),0.0)</f>
        <v>0</v>
      </c>
      <c r="H44" s="19">
        <f>IFERROR(__xludf.DUMMYFUNCTION("""COMPUTED_VALUE"""),0.0)</f>
        <v>0</v>
      </c>
      <c r="I44" s="19">
        <f>IFERROR(__xludf.DUMMYFUNCTION("""COMPUTED_VALUE"""),0.0)</f>
        <v>0</v>
      </c>
      <c r="J44" s="19">
        <f>IFERROR(__xludf.DUMMYFUNCTION("""COMPUTED_VALUE"""),76.0)</f>
        <v>76</v>
      </c>
      <c r="K44" s="19">
        <f>IFERROR(__xludf.DUMMYFUNCTION("""COMPUTED_VALUE"""),56.0)</f>
        <v>56</v>
      </c>
      <c r="L44" s="19">
        <f>IFERROR(__xludf.DUMMYFUNCTION("""COMPUTED_VALUE"""),0.0)</f>
        <v>0</v>
      </c>
      <c r="M44" s="19">
        <f>IFERROR(__xludf.DUMMYFUNCTION("""COMPUTED_VALUE"""),20.0)</f>
        <v>20</v>
      </c>
      <c r="N44" s="19">
        <f>IFERROR(__xludf.DUMMYFUNCTION("""COMPUTED_VALUE"""),0.0)</f>
        <v>0</v>
      </c>
      <c r="O44" s="19">
        <f>IFERROR(__xludf.DUMMYFUNCTION("""COMPUTED_VALUE"""),0.0)</f>
        <v>0</v>
      </c>
      <c r="P44" s="19">
        <f>IFERROR(__xludf.DUMMYFUNCTION("""COMPUTED_VALUE"""),0.0)</f>
        <v>0</v>
      </c>
      <c r="Q44" s="4">
        <f>IFERROR(__xludf.DUMMYFUNCTION("""COMPUTED_VALUE"""),0.0)</f>
        <v>0</v>
      </c>
      <c r="R44" s="52"/>
      <c r="S44" s="52"/>
      <c r="T44" s="52"/>
      <c r="U44" s="52"/>
      <c r="V44" s="52"/>
      <c r="W44" s="52"/>
      <c r="X44" s="52"/>
    </row>
    <row r="45">
      <c r="A45" s="52"/>
      <c r="B45" s="6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"/>
      <c r="R45" s="52"/>
      <c r="S45" s="52"/>
      <c r="T45" s="52"/>
      <c r="U45" s="52"/>
      <c r="V45" s="52"/>
      <c r="W45" s="52"/>
      <c r="X45" s="52"/>
    </row>
    <row r="46">
      <c r="A46" s="52"/>
      <c r="B46" s="6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"/>
      <c r="R46" s="52"/>
      <c r="S46" s="52"/>
      <c r="T46" s="52"/>
      <c r="U46" s="52"/>
      <c r="V46" s="52"/>
      <c r="W46" s="52"/>
      <c r="X46" s="52"/>
    </row>
    <row r="47">
      <c r="A47" s="52"/>
      <c r="B47" s="60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"/>
      <c r="R47" s="52"/>
      <c r="S47" s="52"/>
      <c r="T47" s="52"/>
      <c r="U47" s="52"/>
      <c r="V47" s="52"/>
      <c r="W47" s="52"/>
      <c r="X47" s="52"/>
    </row>
    <row r="48">
      <c r="A48" s="52"/>
      <c r="B48" s="60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"/>
      <c r="R48" s="52"/>
      <c r="S48" s="52"/>
      <c r="T48" s="52"/>
      <c r="U48" s="52"/>
      <c r="V48" s="52"/>
      <c r="W48" s="52"/>
      <c r="X48" s="52"/>
    </row>
    <row r="49">
      <c r="A49" s="52"/>
      <c r="B49" s="60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"/>
      <c r="R49" s="52"/>
      <c r="S49" s="52"/>
      <c r="T49" s="52"/>
      <c r="U49" s="52"/>
      <c r="V49" s="52"/>
      <c r="W49" s="52"/>
      <c r="X49" s="52"/>
    </row>
    <row r="50">
      <c r="A50" s="52"/>
      <c r="B50" s="60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"/>
      <c r="R50" s="52"/>
      <c r="S50" s="52"/>
      <c r="T50" s="52"/>
      <c r="U50" s="52"/>
      <c r="V50" s="52"/>
      <c r="W50" s="52"/>
      <c r="X50" s="52"/>
    </row>
    <row r="51">
      <c r="A51" s="52"/>
      <c r="B51" s="60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"/>
      <c r="R51" s="52"/>
      <c r="S51" s="52"/>
      <c r="T51" s="52"/>
      <c r="U51" s="52"/>
      <c r="V51" s="52"/>
      <c r="W51" s="52"/>
      <c r="X51" s="52"/>
    </row>
    <row r="52">
      <c r="A52" s="52"/>
      <c r="B52" s="60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"/>
      <c r="R52" s="52"/>
      <c r="S52" s="52"/>
      <c r="T52" s="52"/>
      <c r="U52" s="52"/>
      <c r="V52" s="52"/>
      <c r="W52" s="52"/>
      <c r="X52" s="52"/>
    </row>
    <row r="53">
      <c r="A53" s="52"/>
      <c r="B53" s="60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"/>
      <c r="R53" s="52"/>
      <c r="S53" s="52"/>
      <c r="T53" s="52"/>
      <c r="U53" s="52"/>
      <c r="V53" s="52"/>
      <c r="W53" s="52"/>
      <c r="X53" s="52"/>
    </row>
    <row r="54">
      <c r="A54" s="52"/>
      <c r="B54" s="6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"/>
      <c r="R54" s="52"/>
      <c r="S54" s="52"/>
      <c r="T54" s="52"/>
      <c r="U54" s="52"/>
      <c r="V54" s="52"/>
      <c r="W54" s="52"/>
      <c r="X54" s="52"/>
    </row>
    <row r="55">
      <c r="A55" s="52"/>
      <c r="B55" s="60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"/>
      <c r="R55" s="52"/>
      <c r="S55" s="52"/>
      <c r="T55" s="52"/>
      <c r="U55" s="52"/>
      <c r="V55" s="52"/>
      <c r="W55" s="52"/>
      <c r="X55" s="52"/>
    </row>
    <row r="56">
      <c r="A56" s="52"/>
      <c r="B56" s="60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"/>
      <c r="R56" s="52"/>
      <c r="S56" s="52"/>
      <c r="T56" s="52"/>
      <c r="U56" s="52"/>
      <c r="V56" s="52"/>
      <c r="W56" s="52"/>
      <c r="X56" s="52"/>
    </row>
    <row r="57">
      <c r="A57" s="52"/>
      <c r="B57" s="6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"/>
      <c r="R57" s="52"/>
      <c r="S57" s="52"/>
      <c r="T57" s="52"/>
      <c r="U57" s="52"/>
      <c r="V57" s="52"/>
      <c r="W57" s="52"/>
      <c r="X57" s="52"/>
    </row>
    <row r="58">
      <c r="A58" s="52"/>
      <c r="B58" s="6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"/>
      <c r="R58" s="52"/>
      <c r="S58" s="52"/>
      <c r="T58" s="52"/>
      <c r="U58" s="52"/>
      <c r="V58" s="52"/>
      <c r="W58" s="52"/>
      <c r="X58" s="52"/>
    </row>
    <row r="59">
      <c r="A59" s="52"/>
      <c r="B59" s="60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"/>
      <c r="R59" s="52"/>
      <c r="S59" s="52"/>
      <c r="T59" s="52"/>
      <c r="U59" s="52"/>
      <c r="V59" s="52"/>
      <c r="W59" s="52"/>
      <c r="X59" s="52"/>
    </row>
    <row r="60">
      <c r="A60" s="52"/>
      <c r="B60" s="60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"/>
      <c r="R60" s="52"/>
      <c r="S60" s="52"/>
      <c r="T60" s="52"/>
      <c r="U60" s="52"/>
      <c r="V60" s="52"/>
      <c r="W60" s="52"/>
      <c r="X60" s="52"/>
    </row>
    <row r="61">
      <c r="A61" s="52"/>
      <c r="B61" s="60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"/>
      <c r="R61" s="52"/>
      <c r="S61" s="52"/>
      <c r="T61" s="52"/>
      <c r="U61" s="52"/>
      <c r="V61" s="52"/>
      <c r="W61" s="52"/>
      <c r="X61" s="52"/>
    </row>
    <row r="62">
      <c r="A62" s="52"/>
      <c r="B62" s="60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"/>
      <c r="R62" s="52"/>
      <c r="S62" s="52"/>
      <c r="T62" s="52"/>
      <c r="U62" s="52"/>
      <c r="V62" s="52"/>
      <c r="W62" s="52"/>
      <c r="X62" s="52"/>
    </row>
    <row r="63">
      <c r="A63" s="52"/>
      <c r="B63" s="6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"/>
      <c r="R63" s="52"/>
      <c r="S63" s="52"/>
      <c r="T63" s="52"/>
      <c r="U63" s="52"/>
      <c r="V63" s="52"/>
      <c r="W63" s="52"/>
      <c r="X63" s="52"/>
    </row>
    <row r="64">
      <c r="A64" s="52"/>
      <c r="B64" s="60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"/>
      <c r="R64" s="52"/>
      <c r="S64" s="52"/>
      <c r="T64" s="52"/>
      <c r="U64" s="52"/>
      <c r="V64" s="52"/>
      <c r="W64" s="52"/>
      <c r="X64" s="52"/>
    </row>
    <row r="65">
      <c r="A65" s="52"/>
      <c r="B65" s="60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"/>
      <c r="R65" s="52"/>
      <c r="S65" s="52"/>
      <c r="T65" s="52"/>
      <c r="U65" s="52"/>
      <c r="V65" s="52"/>
      <c r="W65" s="52"/>
      <c r="X65" s="52"/>
    </row>
    <row r="66">
      <c r="A66" s="52"/>
      <c r="B66" s="6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"/>
      <c r="R66" s="52"/>
      <c r="S66" s="52"/>
      <c r="T66" s="52"/>
      <c r="U66" s="52"/>
      <c r="V66" s="52"/>
      <c r="W66" s="52"/>
      <c r="X66" s="52"/>
    </row>
    <row r="67">
      <c r="A67" s="52"/>
      <c r="B67" s="60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"/>
      <c r="R67" s="52"/>
      <c r="S67" s="52"/>
      <c r="T67" s="52"/>
      <c r="U67" s="52"/>
      <c r="V67" s="52"/>
      <c r="W67" s="52"/>
      <c r="X67" s="52"/>
    </row>
    <row r="68">
      <c r="A68" s="52"/>
      <c r="B68" s="60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"/>
      <c r="R68" s="52"/>
      <c r="S68" s="52"/>
      <c r="T68" s="52"/>
      <c r="U68" s="52"/>
      <c r="V68" s="52"/>
      <c r="W68" s="52"/>
      <c r="X68" s="52"/>
    </row>
    <row r="69">
      <c r="A69" s="52"/>
      <c r="B69" s="60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"/>
      <c r="R69" s="52"/>
      <c r="S69" s="52"/>
      <c r="T69" s="52"/>
      <c r="U69" s="52"/>
      <c r="V69" s="52"/>
      <c r="W69" s="52"/>
      <c r="X69" s="52"/>
    </row>
    <row r="70">
      <c r="A70" s="52"/>
      <c r="B70" s="60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"/>
      <c r="R70" s="52"/>
      <c r="S70" s="52"/>
      <c r="T70" s="52"/>
      <c r="U70" s="52"/>
      <c r="V70" s="52"/>
      <c r="W70" s="52"/>
      <c r="X70" s="52"/>
    </row>
    <row r="71">
      <c r="A71" s="52"/>
      <c r="B71" s="6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"/>
      <c r="R71" s="52"/>
      <c r="S71" s="52"/>
      <c r="T71" s="52"/>
      <c r="U71" s="52"/>
      <c r="V71" s="52"/>
      <c r="W71" s="52"/>
      <c r="X71" s="52"/>
    </row>
    <row r="72">
      <c r="A72" s="52"/>
      <c r="B72" s="6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"/>
      <c r="R72" s="52"/>
      <c r="S72" s="52"/>
      <c r="T72" s="52"/>
      <c r="U72" s="52"/>
      <c r="V72" s="52"/>
      <c r="W72" s="52"/>
      <c r="X72" s="52"/>
    </row>
    <row r="73">
      <c r="A73" s="52"/>
      <c r="B73" s="6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"/>
      <c r="R73" s="52"/>
      <c r="S73" s="52"/>
      <c r="T73" s="52"/>
      <c r="U73" s="52"/>
      <c r="V73" s="52"/>
      <c r="W73" s="52"/>
      <c r="X73" s="52"/>
    </row>
    <row r="74">
      <c r="A74" s="52"/>
      <c r="B74" s="60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"/>
      <c r="R74" s="52"/>
      <c r="S74" s="52"/>
      <c r="T74" s="52"/>
      <c r="U74" s="52"/>
      <c r="V74" s="52"/>
      <c r="W74" s="52"/>
      <c r="X74" s="52"/>
    </row>
    <row r="75">
      <c r="A75" s="52"/>
      <c r="B75" s="60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"/>
      <c r="R75" s="52"/>
      <c r="S75" s="52"/>
      <c r="T75" s="52"/>
      <c r="U75" s="52"/>
      <c r="V75" s="52"/>
      <c r="W75" s="52"/>
      <c r="X75" s="52"/>
    </row>
    <row r="76">
      <c r="A76" s="52"/>
      <c r="B76" s="60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"/>
      <c r="R76" s="52"/>
      <c r="S76" s="52"/>
      <c r="T76" s="52"/>
      <c r="U76" s="52"/>
      <c r="V76" s="52"/>
      <c r="W76" s="52"/>
      <c r="X76" s="52"/>
    </row>
    <row r="77">
      <c r="A77" s="52"/>
      <c r="B77" s="60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"/>
      <c r="R77" s="52"/>
      <c r="S77" s="52"/>
      <c r="T77" s="52"/>
      <c r="U77" s="52"/>
      <c r="V77" s="52"/>
      <c r="W77" s="52"/>
      <c r="X77" s="52"/>
    </row>
    <row r="78">
      <c r="A78" s="52"/>
      <c r="B78" s="60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"/>
      <c r="R78" s="52"/>
      <c r="S78" s="52"/>
      <c r="T78" s="52"/>
      <c r="U78" s="52"/>
      <c r="V78" s="52"/>
      <c r="W78" s="52"/>
      <c r="X78" s="52"/>
    </row>
    <row r="79">
      <c r="A79" s="52"/>
      <c r="B79" s="60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"/>
      <c r="R79" s="52"/>
      <c r="S79" s="52"/>
      <c r="T79" s="52"/>
      <c r="U79" s="52"/>
      <c r="V79" s="52"/>
      <c r="W79" s="52"/>
      <c r="X79" s="52"/>
    </row>
    <row r="80">
      <c r="A80" s="52"/>
      <c r="B80" s="60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"/>
      <c r="R80" s="52"/>
      <c r="S80" s="52"/>
      <c r="T80" s="52"/>
      <c r="U80" s="52"/>
      <c r="V80" s="52"/>
      <c r="W80" s="52"/>
      <c r="X80" s="52"/>
    </row>
    <row r="81">
      <c r="A81" s="52"/>
      <c r="B81" s="60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"/>
      <c r="R81" s="52"/>
      <c r="S81" s="52"/>
      <c r="T81" s="52"/>
      <c r="U81" s="52"/>
      <c r="V81" s="52"/>
      <c r="W81" s="52"/>
      <c r="X81" s="52"/>
    </row>
    <row r="82">
      <c r="A82" s="52"/>
      <c r="B82" s="60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"/>
      <c r="R82" s="52"/>
      <c r="S82" s="52"/>
      <c r="T82" s="52"/>
      <c r="U82" s="52"/>
      <c r="V82" s="52"/>
      <c r="W82" s="52"/>
      <c r="X82" s="52"/>
    </row>
    <row r="83">
      <c r="A83" s="52"/>
      <c r="B83" s="60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"/>
      <c r="R83" s="52"/>
      <c r="S83" s="52"/>
      <c r="T83" s="52"/>
      <c r="U83" s="52"/>
      <c r="V83" s="52"/>
      <c r="W83" s="52"/>
      <c r="X83" s="52"/>
    </row>
    <row r="84">
      <c r="A84" s="52"/>
      <c r="B84" s="60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"/>
      <c r="R84" s="52"/>
      <c r="S84" s="52"/>
      <c r="T84" s="52"/>
      <c r="U84" s="52"/>
      <c r="V84" s="52"/>
      <c r="W84" s="52"/>
      <c r="X84" s="52"/>
    </row>
    <row r="85">
      <c r="A85" s="52"/>
      <c r="B85" s="60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"/>
      <c r="R85" s="52"/>
      <c r="S85" s="52"/>
      <c r="T85" s="52"/>
      <c r="U85" s="52"/>
      <c r="V85" s="52"/>
      <c r="W85" s="52"/>
      <c r="X85" s="52"/>
    </row>
    <row r="86">
      <c r="A86" s="52"/>
      <c r="B86" s="60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"/>
      <c r="R86" s="52"/>
      <c r="S86" s="52"/>
      <c r="T86" s="52"/>
      <c r="U86" s="52"/>
      <c r="V86" s="52"/>
      <c r="W86" s="52"/>
      <c r="X86" s="52"/>
    </row>
    <row r="87">
      <c r="A87" s="52"/>
      <c r="B87" s="60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"/>
      <c r="R87" s="52"/>
      <c r="S87" s="52"/>
      <c r="T87" s="52"/>
      <c r="U87" s="52"/>
      <c r="V87" s="52"/>
      <c r="W87" s="52"/>
      <c r="X87" s="52"/>
    </row>
    <row r="88">
      <c r="A88" s="52"/>
      <c r="B88" s="60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"/>
      <c r="R88" s="52"/>
      <c r="S88" s="52"/>
      <c r="T88" s="52"/>
      <c r="U88" s="52"/>
      <c r="V88" s="52"/>
      <c r="W88" s="52"/>
      <c r="X88" s="52"/>
    </row>
    <row r="89">
      <c r="A89" s="52"/>
      <c r="B89" s="60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"/>
      <c r="R89" s="52"/>
      <c r="S89" s="52"/>
      <c r="T89" s="52"/>
      <c r="U89" s="52"/>
      <c r="V89" s="52"/>
      <c r="W89" s="52"/>
      <c r="X89" s="52"/>
    </row>
    <row r="90">
      <c r="A90" s="52"/>
      <c r="B90" s="60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"/>
      <c r="R90" s="52"/>
      <c r="S90" s="52"/>
      <c r="T90" s="52"/>
      <c r="U90" s="52"/>
      <c r="V90" s="52"/>
      <c r="W90" s="52"/>
      <c r="X90" s="52"/>
    </row>
    <row r="91">
      <c r="A91" s="52"/>
      <c r="B91" s="60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"/>
      <c r="R91" s="52"/>
      <c r="S91" s="52"/>
      <c r="T91" s="52"/>
      <c r="U91" s="52"/>
      <c r="V91" s="52"/>
      <c r="W91" s="52"/>
      <c r="X91" s="52"/>
    </row>
    <row r="92">
      <c r="A92" s="52"/>
      <c r="B92" s="60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"/>
      <c r="R92" s="52"/>
      <c r="S92" s="52"/>
      <c r="T92" s="52"/>
      <c r="U92" s="52"/>
      <c r="V92" s="52"/>
      <c r="W92" s="52"/>
      <c r="X92" s="52"/>
    </row>
    <row r="93">
      <c r="A93" s="52"/>
      <c r="B93" s="60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"/>
      <c r="R93" s="52"/>
      <c r="S93" s="52"/>
      <c r="T93" s="52"/>
      <c r="U93" s="52"/>
      <c r="V93" s="52"/>
      <c r="W93" s="52"/>
      <c r="X93" s="52"/>
    </row>
    <row r="94">
      <c r="A94" s="52"/>
      <c r="B94" s="60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"/>
      <c r="R94" s="52"/>
      <c r="S94" s="52"/>
      <c r="T94" s="52"/>
      <c r="U94" s="52"/>
      <c r="V94" s="52"/>
      <c r="W94" s="52"/>
      <c r="X94" s="52"/>
    </row>
    <row r="95">
      <c r="A95" s="52"/>
      <c r="B95" s="60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"/>
      <c r="R95" s="52"/>
      <c r="S95" s="52"/>
      <c r="T95" s="52"/>
      <c r="U95" s="52"/>
      <c r="V95" s="52"/>
      <c r="W95" s="52"/>
      <c r="X95" s="52"/>
    </row>
    <row r="96">
      <c r="A96" s="52"/>
      <c r="B96" s="60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"/>
      <c r="R96" s="52"/>
      <c r="S96" s="52"/>
      <c r="T96" s="52"/>
      <c r="U96" s="52"/>
      <c r="V96" s="52"/>
      <c r="W96" s="52"/>
      <c r="X96" s="52"/>
    </row>
    <row r="97">
      <c r="A97" s="52"/>
      <c r="B97" s="60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"/>
      <c r="R97" s="52"/>
      <c r="S97" s="52"/>
      <c r="T97" s="52"/>
      <c r="U97" s="52"/>
      <c r="V97" s="52"/>
      <c r="W97" s="52"/>
      <c r="X97" s="52"/>
    </row>
    <row r="98">
      <c r="A98" s="52"/>
      <c r="B98" s="60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"/>
      <c r="R98" s="52"/>
      <c r="S98" s="52"/>
      <c r="T98" s="52"/>
      <c r="U98" s="52"/>
      <c r="V98" s="52"/>
      <c r="W98" s="52"/>
      <c r="X98" s="52"/>
    </row>
    <row r="99">
      <c r="A99" s="52"/>
      <c r="B99" s="60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"/>
      <c r="R99" s="52"/>
      <c r="S99" s="52"/>
      <c r="T99" s="52"/>
      <c r="U99" s="52"/>
      <c r="V99" s="52"/>
      <c r="W99" s="52"/>
      <c r="X99" s="52"/>
    </row>
    <row r="100">
      <c r="A100" s="52"/>
      <c r="B100" s="60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"/>
      <c r="R100" s="52"/>
      <c r="S100" s="52"/>
      <c r="T100" s="52"/>
      <c r="U100" s="52"/>
      <c r="V100" s="52"/>
      <c r="W100" s="52"/>
      <c r="X100" s="52"/>
    </row>
    <row r="101">
      <c r="A101" s="52"/>
      <c r="B101" s="60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"/>
      <c r="R101" s="52"/>
      <c r="S101" s="52"/>
      <c r="T101" s="52"/>
      <c r="U101" s="52"/>
      <c r="V101" s="52"/>
      <c r="W101" s="52"/>
      <c r="X101" s="52"/>
    </row>
    <row r="102">
      <c r="A102" s="52"/>
      <c r="B102" s="60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"/>
      <c r="R102" s="52"/>
      <c r="S102" s="52"/>
      <c r="T102" s="52"/>
      <c r="U102" s="52"/>
      <c r="V102" s="52"/>
      <c r="W102" s="52"/>
      <c r="X102" s="52"/>
    </row>
    <row r="103">
      <c r="A103" s="52"/>
      <c r="B103" s="60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"/>
      <c r="R103" s="52"/>
      <c r="S103" s="52"/>
      <c r="T103" s="52"/>
      <c r="U103" s="52"/>
      <c r="V103" s="52"/>
      <c r="W103" s="52"/>
      <c r="X103" s="52"/>
    </row>
    <row r="104">
      <c r="A104" s="52"/>
      <c r="B104" s="60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"/>
      <c r="R104" s="52"/>
      <c r="S104" s="52"/>
      <c r="T104" s="52"/>
      <c r="U104" s="52"/>
      <c r="V104" s="52"/>
      <c r="W104" s="52"/>
      <c r="X104" s="52"/>
    </row>
    <row r="105">
      <c r="A105" s="52"/>
      <c r="B105" s="60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"/>
      <c r="R105" s="52"/>
      <c r="S105" s="52"/>
      <c r="T105" s="52"/>
      <c r="U105" s="52"/>
      <c r="V105" s="52"/>
      <c r="W105" s="52"/>
      <c r="X105" s="52"/>
    </row>
    <row r="106">
      <c r="A106" s="52"/>
      <c r="B106" s="60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"/>
      <c r="R106" s="52"/>
      <c r="S106" s="52"/>
      <c r="T106" s="52"/>
      <c r="U106" s="52"/>
      <c r="V106" s="52"/>
      <c r="W106" s="52"/>
      <c r="X106" s="52"/>
    </row>
    <row r="107">
      <c r="A107" s="52"/>
      <c r="B107" s="60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"/>
      <c r="R107" s="52"/>
      <c r="S107" s="52"/>
      <c r="T107" s="52"/>
      <c r="U107" s="52"/>
      <c r="V107" s="52"/>
      <c r="W107" s="52"/>
      <c r="X107" s="52"/>
    </row>
    <row r="108">
      <c r="A108" s="52"/>
      <c r="B108" s="60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"/>
      <c r="R108" s="52"/>
      <c r="S108" s="52"/>
      <c r="T108" s="52"/>
      <c r="U108" s="52"/>
      <c r="V108" s="52"/>
      <c r="W108" s="52"/>
      <c r="X108" s="52"/>
    </row>
    <row r="109">
      <c r="A109" s="52"/>
      <c r="B109" s="60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"/>
      <c r="R109" s="52"/>
      <c r="S109" s="52"/>
      <c r="T109" s="52"/>
      <c r="U109" s="52"/>
      <c r="V109" s="52"/>
      <c r="W109" s="52"/>
      <c r="X109" s="52"/>
    </row>
    <row r="110">
      <c r="A110" s="52"/>
      <c r="B110" s="60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"/>
      <c r="R110" s="52"/>
      <c r="S110" s="52"/>
      <c r="T110" s="52"/>
      <c r="U110" s="52"/>
      <c r="V110" s="52"/>
      <c r="W110" s="52"/>
      <c r="X110" s="52"/>
    </row>
    <row r="111">
      <c r="A111" s="52"/>
      <c r="B111" s="60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"/>
      <c r="R111" s="52"/>
      <c r="S111" s="52"/>
      <c r="T111" s="52"/>
      <c r="U111" s="52"/>
      <c r="V111" s="52"/>
      <c r="W111" s="52"/>
      <c r="X111" s="52"/>
    </row>
    <row r="112">
      <c r="A112" s="52"/>
      <c r="B112" s="60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"/>
      <c r="R112" s="52"/>
      <c r="S112" s="52"/>
      <c r="T112" s="52"/>
      <c r="U112" s="52"/>
      <c r="V112" s="52"/>
      <c r="W112" s="52"/>
      <c r="X112" s="52"/>
    </row>
    <row r="113">
      <c r="A113" s="52"/>
      <c r="B113" s="60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"/>
      <c r="R113" s="52"/>
      <c r="S113" s="52"/>
      <c r="T113" s="52"/>
      <c r="U113" s="52"/>
      <c r="V113" s="52"/>
      <c r="W113" s="52"/>
      <c r="X113" s="52"/>
    </row>
    <row r="114">
      <c r="A114" s="52"/>
      <c r="B114" s="60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"/>
      <c r="R114" s="52"/>
      <c r="S114" s="52"/>
      <c r="T114" s="52"/>
      <c r="U114" s="52"/>
      <c r="V114" s="52"/>
      <c r="W114" s="52"/>
      <c r="X114" s="52"/>
    </row>
    <row r="115">
      <c r="A115" s="52"/>
      <c r="B115" s="60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4"/>
      <c r="R115" s="52"/>
      <c r="S115" s="52"/>
      <c r="T115" s="52"/>
      <c r="U115" s="52"/>
      <c r="V115" s="52"/>
      <c r="W115" s="52"/>
      <c r="X115" s="52"/>
    </row>
    <row r="116">
      <c r="A116" s="52"/>
      <c r="B116" s="60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4"/>
      <c r="R116" s="52"/>
      <c r="S116" s="52"/>
      <c r="T116" s="52"/>
      <c r="U116" s="52"/>
      <c r="V116" s="52"/>
      <c r="W116" s="52"/>
      <c r="X116" s="52"/>
    </row>
    <row r="117">
      <c r="A117" s="52"/>
      <c r="B117" s="60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4"/>
      <c r="R117" s="52"/>
      <c r="S117" s="52"/>
      <c r="T117" s="52"/>
      <c r="U117" s="52"/>
      <c r="V117" s="52"/>
      <c r="W117" s="52"/>
      <c r="X117" s="52"/>
    </row>
    <row r="118">
      <c r="A118" s="52"/>
      <c r="B118" s="60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4"/>
      <c r="R118" s="52"/>
      <c r="S118" s="52"/>
      <c r="T118" s="52"/>
      <c r="U118" s="52"/>
      <c r="V118" s="52"/>
      <c r="W118" s="52"/>
      <c r="X118" s="52"/>
    </row>
    <row r="119">
      <c r="A119" s="52"/>
      <c r="B119" s="60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4"/>
      <c r="R119" s="52"/>
      <c r="S119" s="52"/>
      <c r="T119" s="52"/>
      <c r="U119" s="52"/>
      <c r="V119" s="52"/>
      <c r="W119" s="52"/>
      <c r="X119" s="52"/>
    </row>
    <row r="120">
      <c r="A120" s="52"/>
      <c r="B120" s="60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4"/>
      <c r="R120" s="52"/>
      <c r="S120" s="52"/>
      <c r="T120" s="52"/>
      <c r="U120" s="52"/>
      <c r="V120" s="52"/>
      <c r="W120" s="52"/>
      <c r="X120" s="52"/>
    </row>
    <row r="121">
      <c r="A121" s="52"/>
      <c r="B121" s="60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4"/>
      <c r="R121" s="52"/>
      <c r="S121" s="52"/>
      <c r="T121" s="52"/>
      <c r="U121" s="52"/>
      <c r="V121" s="52"/>
      <c r="W121" s="52"/>
      <c r="X121" s="52"/>
    </row>
    <row r="122">
      <c r="A122" s="52"/>
      <c r="B122" s="60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4"/>
      <c r="R122" s="52"/>
      <c r="S122" s="52"/>
      <c r="T122" s="52"/>
      <c r="U122" s="52"/>
      <c r="V122" s="52"/>
      <c r="W122" s="52"/>
      <c r="X122" s="52"/>
    </row>
    <row r="123">
      <c r="A123" s="52"/>
      <c r="B123" s="60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4"/>
      <c r="R123" s="52"/>
      <c r="S123" s="52"/>
      <c r="T123" s="52"/>
      <c r="U123" s="52"/>
      <c r="V123" s="52"/>
      <c r="W123" s="52"/>
      <c r="X123" s="52"/>
    </row>
    <row r="124">
      <c r="A124" s="52"/>
      <c r="B124" s="60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4"/>
      <c r="R124" s="52"/>
      <c r="S124" s="52"/>
      <c r="T124" s="52"/>
      <c r="U124" s="52"/>
      <c r="V124" s="52"/>
      <c r="W124" s="52"/>
      <c r="X124" s="52"/>
    </row>
    <row r="125">
      <c r="A125" s="52"/>
      <c r="B125" s="60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4"/>
      <c r="R125" s="52"/>
      <c r="S125" s="52"/>
      <c r="T125" s="52"/>
      <c r="U125" s="52"/>
      <c r="V125" s="52"/>
      <c r="W125" s="52"/>
      <c r="X125" s="52"/>
    </row>
    <row r="126">
      <c r="A126" s="52"/>
      <c r="B126" s="60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4"/>
      <c r="R126" s="52"/>
      <c r="S126" s="52"/>
      <c r="T126" s="52"/>
      <c r="U126" s="52"/>
      <c r="V126" s="52"/>
      <c r="W126" s="52"/>
      <c r="X126" s="52"/>
    </row>
    <row r="127">
      <c r="A127" s="52"/>
      <c r="B127" s="60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4"/>
      <c r="R127" s="52"/>
      <c r="S127" s="52"/>
      <c r="T127" s="52"/>
      <c r="U127" s="52"/>
      <c r="V127" s="52"/>
      <c r="W127" s="52"/>
      <c r="X127" s="52"/>
    </row>
    <row r="128">
      <c r="A128" s="52"/>
      <c r="B128" s="60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4"/>
      <c r="R128" s="52"/>
      <c r="S128" s="52"/>
      <c r="T128" s="52"/>
      <c r="U128" s="52"/>
      <c r="V128" s="52"/>
      <c r="W128" s="52"/>
      <c r="X128" s="52"/>
    </row>
    <row r="129">
      <c r="A129" s="52"/>
      <c r="B129" s="60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4"/>
      <c r="R129" s="52"/>
      <c r="S129" s="52"/>
      <c r="T129" s="52"/>
      <c r="U129" s="52"/>
      <c r="V129" s="52"/>
      <c r="W129" s="52"/>
      <c r="X129" s="52"/>
    </row>
    <row r="130">
      <c r="A130" s="52"/>
      <c r="B130" s="60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4"/>
      <c r="R130" s="52"/>
      <c r="S130" s="52"/>
      <c r="T130" s="52"/>
      <c r="U130" s="52"/>
      <c r="V130" s="52"/>
      <c r="W130" s="52"/>
      <c r="X130" s="52"/>
    </row>
    <row r="131">
      <c r="A131" s="52"/>
      <c r="B131" s="60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4"/>
      <c r="R131" s="52"/>
      <c r="S131" s="52"/>
      <c r="T131" s="52"/>
      <c r="U131" s="52"/>
      <c r="V131" s="52"/>
      <c r="W131" s="52"/>
      <c r="X131" s="52"/>
    </row>
    <row r="132">
      <c r="A132" s="52"/>
      <c r="B132" s="60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4"/>
      <c r="R132" s="52"/>
      <c r="S132" s="52"/>
      <c r="T132" s="52"/>
      <c r="U132" s="52"/>
      <c r="V132" s="52"/>
      <c r="W132" s="52"/>
      <c r="X132" s="52"/>
    </row>
    <row r="133">
      <c r="A133" s="52"/>
      <c r="B133" s="60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4"/>
      <c r="R133" s="52"/>
      <c r="S133" s="52"/>
      <c r="T133" s="52"/>
      <c r="U133" s="52"/>
      <c r="V133" s="52"/>
      <c r="W133" s="52"/>
      <c r="X133" s="52"/>
    </row>
    <row r="134">
      <c r="A134" s="52"/>
      <c r="B134" s="60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4"/>
      <c r="R134" s="52"/>
      <c r="S134" s="52"/>
      <c r="T134" s="52"/>
      <c r="U134" s="52"/>
      <c r="V134" s="52"/>
      <c r="W134" s="52"/>
      <c r="X134" s="52"/>
    </row>
    <row r="135">
      <c r="A135" s="52"/>
      <c r="B135" s="60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4"/>
      <c r="R135" s="52"/>
      <c r="S135" s="52"/>
      <c r="T135" s="52"/>
      <c r="U135" s="52"/>
      <c r="V135" s="52"/>
      <c r="W135" s="52"/>
      <c r="X135" s="52"/>
    </row>
    <row r="136">
      <c r="A136" s="52"/>
      <c r="B136" s="60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4"/>
      <c r="R136" s="52"/>
      <c r="S136" s="52"/>
      <c r="T136" s="52"/>
      <c r="U136" s="52"/>
      <c r="V136" s="52"/>
      <c r="W136" s="52"/>
      <c r="X136" s="52"/>
    </row>
    <row r="137">
      <c r="A137" s="52"/>
      <c r="B137" s="60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4"/>
      <c r="R137" s="52"/>
      <c r="S137" s="52"/>
      <c r="T137" s="52"/>
      <c r="U137" s="52"/>
      <c r="V137" s="52"/>
      <c r="W137" s="52"/>
      <c r="X137" s="52"/>
    </row>
    <row r="138">
      <c r="A138" s="52"/>
      <c r="B138" s="60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4"/>
      <c r="R138" s="52"/>
      <c r="S138" s="52"/>
      <c r="T138" s="52"/>
      <c r="U138" s="52"/>
      <c r="V138" s="52"/>
      <c r="W138" s="52"/>
      <c r="X138" s="52"/>
    </row>
    <row r="139">
      <c r="A139" s="52"/>
      <c r="B139" s="60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4"/>
      <c r="R139" s="52"/>
      <c r="S139" s="52"/>
      <c r="T139" s="52"/>
      <c r="U139" s="52"/>
      <c r="V139" s="52"/>
      <c r="W139" s="52"/>
      <c r="X139" s="52"/>
    </row>
    <row r="140">
      <c r="A140" s="52"/>
      <c r="B140" s="60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4"/>
      <c r="R140" s="52"/>
      <c r="S140" s="52"/>
      <c r="T140" s="52"/>
      <c r="U140" s="52"/>
      <c r="V140" s="52"/>
      <c r="W140" s="52"/>
      <c r="X140" s="52"/>
    </row>
    <row r="141">
      <c r="A141" s="52"/>
      <c r="B141" s="60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4"/>
      <c r="R141" s="52"/>
      <c r="S141" s="52"/>
      <c r="T141" s="52"/>
      <c r="U141" s="52"/>
      <c r="V141" s="52"/>
      <c r="W141" s="52"/>
      <c r="X141" s="52"/>
    </row>
    <row r="142">
      <c r="A142" s="52"/>
      <c r="B142" s="60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4"/>
      <c r="R142" s="52"/>
      <c r="S142" s="52"/>
      <c r="T142" s="52"/>
      <c r="U142" s="52"/>
      <c r="V142" s="52"/>
      <c r="W142" s="52"/>
      <c r="X142" s="52"/>
    </row>
    <row r="143">
      <c r="A143" s="52"/>
      <c r="B143" s="60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4"/>
      <c r="R143" s="52"/>
      <c r="S143" s="52"/>
      <c r="T143" s="52"/>
      <c r="U143" s="52"/>
      <c r="V143" s="52"/>
      <c r="W143" s="52"/>
      <c r="X143" s="52"/>
    </row>
    <row r="144">
      <c r="A144" s="52"/>
      <c r="B144" s="60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4"/>
      <c r="R144" s="52"/>
      <c r="S144" s="52"/>
      <c r="T144" s="52"/>
      <c r="U144" s="52"/>
      <c r="V144" s="52"/>
      <c r="W144" s="52"/>
      <c r="X144" s="52"/>
    </row>
    <row r="145">
      <c r="A145" s="52"/>
      <c r="B145" s="60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4"/>
      <c r="R145" s="52"/>
      <c r="S145" s="52"/>
      <c r="T145" s="52"/>
      <c r="U145" s="52"/>
      <c r="V145" s="52"/>
      <c r="W145" s="52"/>
      <c r="X145" s="52"/>
    </row>
    <row r="146">
      <c r="A146" s="52"/>
      <c r="B146" s="60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4"/>
      <c r="R146" s="52"/>
      <c r="S146" s="52"/>
      <c r="T146" s="52"/>
      <c r="U146" s="52"/>
      <c r="V146" s="52"/>
      <c r="W146" s="52"/>
      <c r="X146" s="52"/>
    </row>
    <row r="147">
      <c r="A147" s="52"/>
      <c r="B147" s="60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4"/>
      <c r="R147" s="52"/>
      <c r="S147" s="52"/>
      <c r="T147" s="52"/>
      <c r="U147" s="52"/>
      <c r="V147" s="52"/>
      <c r="W147" s="52"/>
      <c r="X147" s="52"/>
    </row>
    <row r="148">
      <c r="A148" s="52"/>
      <c r="B148" s="60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4"/>
      <c r="R148" s="52"/>
      <c r="S148" s="52"/>
      <c r="T148" s="52"/>
      <c r="U148" s="52"/>
      <c r="V148" s="52"/>
      <c r="W148" s="52"/>
      <c r="X148" s="52"/>
    </row>
    <row r="149">
      <c r="A149" s="52"/>
      <c r="B149" s="60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4"/>
      <c r="R149" s="52"/>
      <c r="S149" s="52"/>
      <c r="T149" s="52"/>
      <c r="U149" s="52"/>
      <c r="V149" s="52"/>
      <c r="W149" s="52"/>
      <c r="X149" s="52"/>
    </row>
    <row r="150">
      <c r="A150" s="52"/>
      <c r="B150" s="60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4"/>
      <c r="R150" s="52"/>
      <c r="S150" s="52"/>
      <c r="T150" s="52"/>
      <c r="U150" s="52"/>
      <c r="V150" s="52"/>
      <c r="W150" s="52"/>
      <c r="X150" s="52"/>
    </row>
    <row r="151">
      <c r="A151" s="52"/>
      <c r="B151" s="60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4"/>
      <c r="R151" s="52"/>
      <c r="S151" s="52"/>
      <c r="T151" s="52"/>
      <c r="U151" s="52"/>
      <c r="V151" s="52"/>
      <c r="W151" s="52"/>
      <c r="X151" s="52"/>
    </row>
    <row r="152">
      <c r="A152" s="52"/>
      <c r="B152" s="60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4"/>
      <c r="R152" s="52"/>
      <c r="S152" s="52"/>
      <c r="T152" s="52"/>
      <c r="U152" s="52"/>
      <c r="V152" s="52"/>
      <c r="W152" s="52"/>
      <c r="X152" s="52"/>
    </row>
    <row r="153">
      <c r="A153" s="52"/>
      <c r="B153" s="60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4"/>
      <c r="R153" s="52"/>
      <c r="S153" s="52"/>
      <c r="T153" s="52"/>
      <c r="U153" s="52"/>
      <c r="V153" s="52"/>
      <c r="W153" s="52"/>
      <c r="X153" s="52"/>
    </row>
    <row r="154">
      <c r="A154" s="52"/>
      <c r="B154" s="60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4"/>
      <c r="R154" s="52"/>
      <c r="S154" s="52"/>
      <c r="T154" s="52"/>
      <c r="U154" s="52"/>
      <c r="V154" s="52"/>
      <c r="W154" s="52"/>
      <c r="X154" s="52"/>
    </row>
    <row r="155">
      <c r="A155" s="52"/>
      <c r="B155" s="60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4"/>
      <c r="R155" s="52"/>
      <c r="S155" s="52"/>
      <c r="T155" s="52"/>
      <c r="U155" s="52"/>
      <c r="V155" s="52"/>
      <c r="W155" s="52"/>
      <c r="X155" s="52"/>
    </row>
    <row r="156">
      <c r="A156" s="52"/>
      <c r="B156" s="60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4"/>
      <c r="R156" s="52"/>
      <c r="S156" s="52"/>
      <c r="T156" s="52"/>
      <c r="U156" s="52"/>
      <c r="V156" s="52"/>
      <c r="W156" s="52"/>
      <c r="X156" s="52"/>
    </row>
    <row r="157">
      <c r="A157" s="52"/>
      <c r="B157" s="60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4"/>
      <c r="R157" s="52"/>
      <c r="S157" s="52"/>
      <c r="T157" s="52"/>
      <c r="U157" s="52"/>
      <c r="V157" s="52"/>
      <c r="W157" s="52"/>
      <c r="X157" s="52"/>
    </row>
    <row r="158">
      <c r="A158" s="52"/>
      <c r="B158" s="60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4"/>
      <c r="R158" s="52"/>
      <c r="S158" s="52"/>
      <c r="T158" s="52"/>
      <c r="U158" s="52"/>
      <c r="V158" s="52"/>
      <c r="W158" s="52"/>
      <c r="X158" s="52"/>
    </row>
    <row r="159">
      <c r="A159" s="52"/>
      <c r="B159" s="60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4"/>
      <c r="R159" s="52"/>
      <c r="S159" s="52"/>
      <c r="T159" s="52"/>
      <c r="U159" s="52"/>
      <c r="V159" s="52"/>
      <c r="W159" s="52"/>
      <c r="X159" s="52"/>
    </row>
    <row r="160">
      <c r="A160" s="52"/>
      <c r="B160" s="60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4"/>
      <c r="R160" s="52"/>
      <c r="S160" s="52"/>
      <c r="T160" s="52"/>
      <c r="U160" s="52"/>
      <c r="V160" s="52"/>
      <c r="W160" s="52"/>
      <c r="X160" s="52"/>
    </row>
    <row r="161">
      <c r="A161" s="52"/>
      <c r="B161" s="60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4"/>
      <c r="R161" s="52"/>
      <c r="S161" s="52"/>
      <c r="T161" s="52"/>
      <c r="U161" s="52"/>
      <c r="V161" s="52"/>
      <c r="W161" s="52"/>
      <c r="X161" s="52"/>
    </row>
    <row r="162">
      <c r="A162" s="52"/>
      <c r="B162" s="60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4"/>
      <c r="R162" s="52"/>
      <c r="S162" s="52"/>
      <c r="T162" s="52"/>
      <c r="U162" s="52"/>
      <c r="V162" s="52"/>
      <c r="W162" s="52"/>
      <c r="X162" s="52"/>
    </row>
    <row r="163">
      <c r="A163" s="52"/>
      <c r="B163" s="60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4"/>
      <c r="R163" s="52"/>
      <c r="S163" s="52"/>
      <c r="T163" s="52"/>
      <c r="U163" s="52"/>
      <c r="V163" s="52"/>
      <c r="W163" s="52"/>
      <c r="X163" s="52"/>
    </row>
    <row r="164">
      <c r="A164" s="52"/>
      <c r="B164" s="60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4"/>
      <c r="R164" s="52"/>
      <c r="S164" s="52"/>
      <c r="T164" s="52"/>
      <c r="U164" s="52"/>
      <c r="V164" s="52"/>
      <c r="W164" s="52"/>
      <c r="X164" s="52"/>
    </row>
    <row r="165">
      <c r="A165" s="52"/>
      <c r="B165" s="60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4"/>
      <c r="R165" s="52"/>
      <c r="S165" s="52"/>
      <c r="T165" s="52"/>
      <c r="U165" s="52"/>
      <c r="V165" s="52"/>
      <c r="W165" s="52"/>
      <c r="X165" s="52"/>
    </row>
    <row r="166">
      <c r="A166" s="52"/>
      <c r="B166" s="60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4"/>
      <c r="R166" s="52"/>
      <c r="S166" s="52"/>
      <c r="T166" s="52"/>
      <c r="U166" s="52"/>
      <c r="V166" s="52"/>
      <c r="W166" s="52"/>
      <c r="X166" s="52"/>
    </row>
    <row r="167">
      <c r="A167" s="52"/>
      <c r="B167" s="60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4"/>
      <c r="R167" s="52"/>
      <c r="S167" s="52"/>
      <c r="T167" s="52"/>
      <c r="U167" s="52"/>
      <c r="V167" s="52"/>
      <c r="W167" s="52"/>
      <c r="X167" s="52"/>
    </row>
    <row r="168">
      <c r="A168" s="52"/>
      <c r="B168" s="60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4"/>
      <c r="R168" s="52"/>
      <c r="S168" s="52"/>
      <c r="T168" s="52"/>
      <c r="U168" s="52"/>
      <c r="V168" s="52"/>
      <c r="W168" s="52"/>
      <c r="X168" s="52"/>
    </row>
    <row r="169">
      <c r="A169" s="52"/>
      <c r="B169" s="60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4"/>
      <c r="R169" s="52"/>
      <c r="S169" s="52"/>
      <c r="T169" s="52"/>
      <c r="U169" s="52"/>
      <c r="V169" s="52"/>
      <c r="W169" s="52"/>
      <c r="X169" s="52"/>
    </row>
    <row r="170">
      <c r="A170" s="52"/>
      <c r="B170" s="60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4"/>
      <c r="R170" s="52"/>
      <c r="S170" s="52"/>
      <c r="T170" s="52"/>
      <c r="U170" s="52"/>
      <c r="V170" s="52"/>
      <c r="W170" s="52"/>
      <c r="X170" s="52"/>
    </row>
    <row r="171">
      <c r="A171" s="52"/>
      <c r="B171" s="60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4"/>
      <c r="R171" s="52"/>
      <c r="S171" s="52"/>
      <c r="T171" s="52"/>
      <c r="U171" s="52"/>
      <c r="V171" s="52"/>
      <c r="W171" s="52"/>
      <c r="X171" s="52"/>
    </row>
    <row r="172">
      <c r="A172" s="52"/>
      <c r="B172" s="60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4"/>
      <c r="R172" s="52"/>
      <c r="S172" s="52"/>
      <c r="T172" s="52"/>
      <c r="U172" s="52"/>
      <c r="V172" s="52"/>
      <c r="W172" s="52"/>
      <c r="X172" s="52"/>
    </row>
    <row r="173">
      <c r="A173" s="52"/>
      <c r="B173" s="60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4"/>
      <c r="R173" s="52"/>
      <c r="S173" s="52"/>
      <c r="T173" s="52"/>
      <c r="U173" s="52"/>
      <c r="V173" s="52"/>
      <c r="W173" s="52"/>
      <c r="X173" s="52"/>
    </row>
    <row r="174">
      <c r="A174" s="52"/>
      <c r="B174" s="60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4"/>
      <c r="R174" s="52"/>
      <c r="S174" s="52"/>
      <c r="T174" s="52"/>
      <c r="U174" s="52"/>
      <c r="V174" s="52"/>
      <c r="W174" s="52"/>
      <c r="X174" s="52"/>
    </row>
    <row r="175">
      <c r="A175" s="52"/>
      <c r="B175" s="60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4"/>
      <c r="R175" s="52"/>
      <c r="S175" s="52"/>
      <c r="T175" s="52"/>
      <c r="U175" s="52"/>
      <c r="V175" s="52"/>
      <c r="W175" s="52"/>
      <c r="X175" s="52"/>
    </row>
    <row r="176">
      <c r="A176" s="52"/>
      <c r="B176" s="60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4"/>
      <c r="R176" s="52"/>
      <c r="S176" s="52"/>
      <c r="T176" s="52"/>
      <c r="U176" s="52"/>
      <c r="V176" s="52"/>
      <c r="W176" s="52"/>
      <c r="X176" s="52"/>
    </row>
    <row r="177">
      <c r="A177" s="52"/>
      <c r="B177" s="60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4"/>
      <c r="R177" s="52"/>
      <c r="S177" s="52"/>
      <c r="T177" s="52"/>
      <c r="U177" s="52"/>
      <c r="V177" s="52"/>
      <c r="W177" s="52"/>
      <c r="X177" s="52"/>
    </row>
    <row r="178">
      <c r="A178" s="52"/>
      <c r="B178" s="60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4"/>
      <c r="R178" s="52"/>
      <c r="S178" s="52"/>
      <c r="T178" s="52"/>
      <c r="U178" s="52"/>
      <c r="V178" s="52"/>
      <c r="W178" s="52"/>
      <c r="X178" s="52"/>
    </row>
    <row r="179">
      <c r="A179" s="52"/>
      <c r="B179" s="60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4"/>
      <c r="R179" s="52"/>
      <c r="S179" s="52"/>
      <c r="T179" s="52"/>
      <c r="U179" s="52"/>
      <c r="V179" s="52"/>
      <c r="W179" s="52"/>
      <c r="X179" s="52"/>
    </row>
    <row r="180">
      <c r="A180" s="52"/>
      <c r="B180" s="60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4"/>
      <c r="R180" s="52"/>
      <c r="S180" s="52"/>
      <c r="T180" s="52"/>
      <c r="U180" s="52"/>
      <c r="V180" s="52"/>
      <c r="W180" s="52"/>
      <c r="X180" s="52"/>
    </row>
    <row r="181">
      <c r="A181" s="52"/>
      <c r="B181" s="60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4"/>
      <c r="R181" s="52"/>
      <c r="S181" s="52"/>
      <c r="T181" s="52"/>
      <c r="U181" s="52"/>
      <c r="V181" s="52"/>
      <c r="W181" s="52"/>
      <c r="X181" s="52"/>
    </row>
    <row r="182">
      <c r="A182" s="52"/>
      <c r="B182" s="60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4"/>
      <c r="R182" s="52"/>
      <c r="S182" s="52"/>
      <c r="T182" s="52"/>
      <c r="U182" s="52"/>
      <c r="V182" s="52"/>
      <c r="W182" s="52"/>
      <c r="X182" s="52"/>
    </row>
    <row r="183">
      <c r="A183" s="52"/>
      <c r="B183" s="60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4"/>
      <c r="R183" s="52"/>
      <c r="S183" s="52"/>
      <c r="T183" s="52"/>
      <c r="U183" s="52"/>
      <c r="V183" s="52"/>
      <c r="W183" s="52"/>
      <c r="X183" s="52"/>
    </row>
    <row r="184">
      <c r="A184" s="52"/>
      <c r="B184" s="60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4"/>
      <c r="R184" s="52"/>
      <c r="S184" s="52"/>
      <c r="T184" s="52"/>
      <c r="U184" s="52"/>
      <c r="V184" s="52"/>
      <c r="W184" s="52"/>
      <c r="X184" s="52"/>
    </row>
    <row r="185">
      <c r="A185" s="52"/>
      <c r="B185" s="60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4"/>
      <c r="R185" s="52"/>
      <c r="S185" s="52"/>
      <c r="T185" s="52"/>
      <c r="U185" s="52"/>
      <c r="V185" s="52"/>
      <c r="W185" s="52"/>
      <c r="X185" s="52"/>
    </row>
    <row r="186">
      <c r="A186" s="52"/>
      <c r="B186" s="60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4"/>
      <c r="R186" s="52"/>
      <c r="S186" s="52"/>
      <c r="T186" s="52"/>
      <c r="U186" s="52"/>
      <c r="V186" s="52"/>
      <c r="W186" s="52"/>
      <c r="X186" s="52"/>
    </row>
    <row r="187">
      <c r="A187" s="52"/>
      <c r="B187" s="60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4"/>
      <c r="R187" s="52"/>
      <c r="S187" s="52"/>
      <c r="T187" s="52"/>
      <c r="U187" s="52"/>
      <c r="V187" s="52"/>
      <c r="W187" s="52"/>
      <c r="X187" s="52"/>
    </row>
    <row r="188">
      <c r="A188" s="52"/>
      <c r="B188" s="60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4"/>
      <c r="R188" s="52"/>
      <c r="S188" s="52"/>
      <c r="T188" s="52"/>
      <c r="U188" s="52"/>
      <c r="V188" s="52"/>
      <c r="W188" s="52"/>
      <c r="X188" s="52"/>
    </row>
    <row r="189">
      <c r="A189" s="52"/>
      <c r="B189" s="60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4"/>
      <c r="R189" s="52"/>
      <c r="S189" s="52"/>
      <c r="T189" s="52"/>
      <c r="U189" s="52"/>
      <c r="V189" s="52"/>
      <c r="W189" s="52"/>
      <c r="X189" s="52"/>
    </row>
    <row r="190">
      <c r="A190" s="52"/>
      <c r="B190" s="60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4"/>
      <c r="R190" s="52"/>
      <c r="S190" s="52"/>
      <c r="T190" s="52"/>
      <c r="U190" s="52"/>
      <c r="V190" s="52"/>
      <c r="W190" s="52"/>
      <c r="X190" s="52"/>
    </row>
    <row r="191">
      <c r="A191" s="52"/>
      <c r="B191" s="60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4"/>
      <c r="R191" s="52"/>
      <c r="S191" s="52"/>
      <c r="T191" s="52"/>
      <c r="U191" s="52"/>
      <c r="V191" s="52"/>
      <c r="W191" s="52"/>
      <c r="X191" s="52"/>
    </row>
    <row r="192">
      <c r="A192" s="52"/>
      <c r="B192" s="60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4"/>
      <c r="R192" s="52"/>
      <c r="S192" s="52"/>
      <c r="T192" s="52"/>
      <c r="U192" s="52"/>
      <c r="V192" s="52"/>
      <c r="W192" s="52"/>
      <c r="X192" s="52"/>
    </row>
    <row r="193">
      <c r="A193" s="52"/>
      <c r="B193" s="60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4"/>
      <c r="R193" s="52"/>
      <c r="S193" s="52"/>
      <c r="T193" s="52"/>
      <c r="U193" s="52"/>
      <c r="V193" s="52"/>
      <c r="W193" s="52"/>
      <c r="X193" s="52"/>
    </row>
    <row r="194">
      <c r="A194" s="52"/>
      <c r="B194" s="60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4"/>
      <c r="R194" s="52"/>
      <c r="S194" s="52"/>
      <c r="T194" s="52"/>
      <c r="U194" s="52"/>
      <c r="V194" s="52"/>
      <c r="W194" s="52"/>
      <c r="X194" s="52"/>
    </row>
    <row r="195">
      <c r="A195" s="52"/>
      <c r="B195" s="60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4"/>
      <c r="R195" s="52"/>
      <c r="S195" s="52"/>
      <c r="T195" s="52"/>
      <c r="U195" s="52"/>
      <c r="V195" s="52"/>
      <c r="W195" s="52"/>
      <c r="X195" s="52"/>
    </row>
    <row r="196">
      <c r="A196" s="52"/>
      <c r="B196" s="60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4"/>
      <c r="R196" s="52"/>
      <c r="S196" s="52"/>
      <c r="T196" s="52"/>
      <c r="U196" s="52"/>
      <c r="V196" s="52"/>
      <c r="W196" s="52"/>
      <c r="X196" s="52"/>
    </row>
    <row r="197">
      <c r="A197" s="52"/>
      <c r="B197" s="60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4"/>
      <c r="R197" s="52"/>
      <c r="S197" s="52"/>
      <c r="T197" s="52"/>
      <c r="U197" s="52"/>
      <c r="V197" s="52"/>
      <c r="W197" s="52"/>
      <c r="X197" s="52"/>
    </row>
    <row r="198">
      <c r="A198" s="52"/>
      <c r="B198" s="60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4"/>
      <c r="R198" s="52"/>
      <c r="S198" s="52"/>
      <c r="T198" s="52"/>
      <c r="U198" s="52"/>
      <c r="V198" s="52"/>
      <c r="W198" s="52"/>
      <c r="X198" s="52"/>
    </row>
    <row r="199">
      <c r="A199" s="52"/>
      <c r="B199" s="60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4"/>
      <c r="R199" s="52"/>
      <c r="S199" s="52"/>
      <c r="T199" s="52"/>
      <c r="U199" s="52"/>
      <c r="V199" s="52"/>
      <c r="W199" s="52"/>
      <c r="X199" s="52"/>
    </row>
    <row r="200">
      <c r="A200" s="52"/>
      <c r="B200" s="60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4"/>
      <c r="R200" s="52"/>
      <c r="S200" s="52"/>
      <c r="T200" s="52"/>
      <c r="U200" s="52"/>
      <c r="V200" s="52"/>
      <c r="W200" s="52"/>
      <c r="X200" s="52"/>
    </row>
    <row r="201">
      <c r="A201" s="52"/>
      <c r="B201" s="60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4"/>
      <c r="R201" s="52"/>
      <c r="S201" s="52"/>
      <c r="T201" s="52"/>
      <c r="U201" s="52"/>
      <c r="V201" s="52"/>
      <c r="W201" s="52"/>
      <c r="X201" s="52"/>
    </row>
    <row r="202">
      <c r="A202" s="52"/>
      <c r="B202" s="60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4"/>
      <c r="R202" s="52"/>
      <c r="S202" s="52"/>
      <c r="T202" s="52"/>
      <c r="U202" s="52"/>
      <c r="V202" s="52"/>
      <c r="W202" s="52"/>
      <c r="X202" s="52"/>
    </row>
    <row r="203">
      <c r="A203" s="52"/>
      <c r="B203" s="60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4"/>
      <c r="R203" s="52"/>
      <c r="S203" s="52"/>
      <c r="T203" s="52"/>
      <c r="U203" s="52"/>
      <c r="V203" s="52"/>
      <c r="W203" s="52"/>
      <c r="X203" s="52"/>
    </row>
    <row r="204">
      <c r="A204" s="52"/>
      <c r="B204" s="60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4"/>
      <c r="R204" s="52"/>
      <c r="S204" s="52"/>
      <c r="T204" s="52"/>
      <c r="U204" s="52"/>
      <c r="V204" s="52"/>
      <c r="W204" s="52"/>
      <c r="X204" s="52"/>
    </row>
    <row r="205">
      <c r="A205" s="52"/>
      <c r="B205" s="60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4"/>
      <c r="R205" s="52"/>
      <c r="S205" s="52"/>
      <c r="T205" s="52"/>
      <c r="U205" s="52"/>
      <c r="V205" s="52"/>
      <c r="W205" s="52"/>
      <c r="X205" s="52"/>
    </row>
    <row r="206">
      <c r="A206" s="52"/>
      <c r="B206" s="60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4"/>
      <c r="R206" s="52"/>
      <c r="S206" s="52"/>
      <c r="T206" s="52"/>
      <c r="U206" s="52"/>
      <c r="V206" s="52"/>
      <c r="W206" s="52"/>
      <c r="X206" s="52"/>
    </row>
    <row r="207">
      <c r="A207" s="52"/>
      <c r="B207" s="60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4"/>
      <c r="R207" s="52"/>
      <c r="S207" s="52"/>
      <c r="T207" s="52"/>
      <c r="U207" s="52"/>
      <c r="V207" s="52"/>
      <c r="W207" s="52"/>
      <c r="X207" s="52"/>
    </row>
    <row r="208">
      <c r="A208" s="52"/>
      <c r="B208" s="60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4"/>
      <c r="R208" s="52"/>
      <c r="S208" s="52"/>
      <c r="T208" s="52"/>
      <c r="U208" s="52"/>
      <c r="V208" s="52"/>
      <c r="W208" s="52"/>
      <c r="X208" s="52"/>
    </row>
    <row r="209">
      <c r="A209" s="52"/>
      <c r="B209" s="60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4"/>
      <c r="R209" s="52"/>
      <c r="S209" s="52"/>
      <c r="T209" s="52"/>
      <c r="U209" s="52"/>
      <c r="V209" s="52"/>
      <c r="W209" s="52"/>
      <c r="X209" s="52"/>
    </row>
    <row r="210">
      <c r="A210" s="52"/>
      <c r="B210" s="60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4"/>
      <c r="R210" s="52"/>
      <c r="S210" s="52"/>
      <c r="T210" s="52"/>
      <c r="U210" s="52"/>
      <c r="V210" s="52"/>
      <c r="W210" s="52"/>
      <c r="X210" s="52"/>
    </row>
    <row r="211">
      <c r="A211" s="52"/>
      <c r="B211" s="60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4"/>
      <c r="R211" s="52"/>
      <c r="S211" s="52"/>
      <c r="T211" s="52"/>
      <c r="U211" s="52"/>
      <c r="V211" s="52"/>
      <c r="W211" s="52"/>
      <c r="X211" s="52"/>
    </row>
    <row r="212">
      <c r="A212" s="52"/>
      <c r="B212" s="60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4"/>
      <c r="R212" s="52"/>
      <c r="S212" s="52"/>
      <c r="T212" s="52"/>
      <c r="U212" s="52"/>
      <c r="V212" s="52"/>
      <c r="W212" s="52"/>
      <c r="X212" s="52"/>
    </row>
    <row r="213">
      <c r="A213" s="52"/>
      <c r="B213" s="60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4"/>
      <c r="R213" s="52"/>
      <c r="S213" s="52"/>
      <c r="T213" s="52"/>
      <c r="U213" s="52"/>
      <c r="V213" s="52"/>
      <c r="W213" s="52"/>
      <c r="X213" s="52"/>
    </row>
    <row r="214">
      <c r="A214" s="52"/>
      <c r="B214" s="60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4"/>
      <c r="R214" s="52"/>
      <c r="S214" s="52"/>
      <c r="T214" s="52"/>
      <c r="U214" s="52"/>
      <c r="V214" s="52"/>
      <c r="W214" s="52"/>
      <c r="X214" s="52"/>
    </row>
    <row r="215">
      <c r="A215" s="52"/>
      <c r="B215" s="60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4"/>
      <c r="R215" s="52"/>
      <c r="S215" s="52"/>
      <c r="T215" s="52"/>
      <c r="U215" s="52"/>
      <c r="V215" s="52"/>
      <c r="W215" s="52"/>
      <c r="X215" s="52"/>
    </row>
    <row r="216">
      <c r="A216" s="52"/>
      <c r="B216" s="60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4"/>
      <c r="R216" s="52"/>
      <c r="S216" s="52"/>
      <c r="T216" s="52"/>
      <c r="U216" s="52"/>
      <c r="V216" s="52"/>
      <c r="W216" s="52"/>
      <c r="X216" s="52"/>
    </row>
    <row r="217">
      <c r="A217" s="52"/>
      <c r="B217" s="60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4"/>
      <c r="R217" s="52"/>
      <c r="S217" s="52"/>
      <c r="T217" s="52"/>
      <c r="U217" s="52"/>
      <c r="V217" s="52"/>
      <c r="W217" s="52"/>
      <c r="X217" s="52"/>
    </row>
    <row r="218">
      <c r="A218" s="52"/>
      <c r="B218" s="60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4"/>
      <c r="R218" s="52"/>
      <c r="S218" s="52"/>
      <c r="T218" s="52"/>
      <c r="U218" s="52"/>
      <c r="V218" s="52"/>
      <c r="W218" s="52"/>
      <c r="X218" s="52"/>
    </row>
    <row r="219">
      <c r="A219" s="52"/>
      <c r="B219" s="60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4"/>
      <c r="R219" s="52"/>
      <c r="S219" s="52"/>
      <c r="T219" s="52"/>
      <c r="U219" s="52"/>
      <c r="V219" s="52"/>
      <c r="W219" s="52"/>
      <c r="X219" s="52"/>
    </row>
    <row r="220">
      <c r="A220" s="52"/>
      <c r="B220" s="60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4"/>
      <c r="R220" s="52"/>
      <c r="S220" s="52"/>
      <c r="T220" s="52"/>
      <c r="U220" s="52"/>
      <c r="V220" s="52"/>
      <c r="W220" s="52"/>
      <c r="X220" s="52"/>
    </row>
    <row r="221">
      <c r="A221" s="52"/>
      <c r="B221" s="60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4"/>
      <c r="R221" s="52"/>
      <c r="S221" s="52"/>
      <c r="T221" s="52"/>
      <c r="U221" s="52"/>
      <c r="V221" s="52"/>
      <c r="W221" s="52"/>
      <c r="X221" s="52"/>
    </row>
    <row r="222">
      <c r="A222" s="52"/>
      <c r="B222" s="60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4"/>
      <c r="R222" s="52"/>
      <c r="S222" s="52"/>
      <c r="T222" s="52"/>
      <c r="U222" s="52"/>
      <c r="V222" s="52"/>
      <c r="W222" s="52"/>
      <c r="X222" s="52"/>
    </row>
    <row r="223">
      <c r="A223" s="52"/>
      <c r="B223" s="60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4"/>
      <c r="R223" s="52"/>
      <c r="S223" s="52"/>
      <c r="T223" s="52"/>
      <c r="U223" s="52"/>
      <c r="V223" s="52"/>
      <c r="W223" s="52"/>
      <c r="X223" s="52"/>
    </row>
    <row r="224">
      <c r="A224" s="52"/>
      <c r="B224" s="60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4"/>
      <c r="R224" s="52"/>
      <c r="S224" s="52"/>
      <c r="T224" s="52"/>
      <c r="U224" s="52"/>
      <c r="V224" s="52"/>
      <c r="W224" s="52"/>
      <c r="X224" s="52"/>
    </row>
    <row r="225">
      <c r="A225" s="52"/>
      <c r="B225" s="60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4"/>
      <c r="R225" s="52"/>
      <c r="S225" s="52"/>
      <c r="T225" s="52"/>
      <c r="U225" s="52"/>
      <c r="V225" s="52"/>
      <c r="W225" s="52"/>
      <c r="X225" s="52"/>
    </row>
    <row r="226">
      <c r="A226" s="52"/>
      <c r="B226" s="60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4"/>
      <c r="R226" s="52"/>
      <c r="S226" s="52"/>
      <c r="T226" s="52"/>
      <c r="U226" s="52"/>
      <c r="V226" s="52"/>
      <c r="W226" s="52"/>
      <c r="X226" s="52"/>
    </row>
    <row r="227">
      <c r="A227" s="52"/>
      <c r="B227" s="60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4"/>
      <c r="R227" s="52"/>
      <c r="S227" s="52"/>
      <c r="T227" s="52"/>
      <c r="U227" s="52"/>
      <c r="V227" s="52"/>
      <c r="W227" s="52"/>
      <c r="X227" s="52"/>
    </row>
    <row r="228">
      <c r="A228" s="52"/>
      <c r="B228" s="60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4"/>
      <c r="R228" s="52"/>
      <c r="S228" s="52"/>
      <c r="T228" s="52"/>
      <c r="U228" s="52"/>
      <c r="V228" s="52"/>
      <c r="W228" s="52"/>
      <c r="X228" s="52"/>
    </row>
    <row r="229">
      <c r="A229" s="52"/>
      <c r="B229" s="60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4"/>
      <c r="R229" s="52"/>
      <c r="S229" s="52"/>
      <c r="T229" s="52"/>
      <c r="U229" s="52"/>
      <c r="V229" s="52"/>
      <c r="W229" s="52"/>
      <c r="X229" s="52"/>
    </row>
    <row r="230">
      <c r="A230" s="52"/>
      <c r="B230" s="60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4"/>
      <c r="R230" s="52"/>
      <c r="S230" s="52"/>
      <c r="T230" s="52"/>
      <c r="U230" s="52"/>
      <c r="V230" s="52"/>
      <c r="W230" s="52"/>
      <c r="X230" s="52"/>
    </row>
    <row r="231">
      <c r="A231" s="52"/>
      <c r="B231" s="60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4"/>
      <c r="R231" s="52"/>
      <c r="S231" s="52"/>
      <c r="T231" s="52"/>
      <c r="U231" s="52"/>
      <c r="V231" s="52"/>
      <c r="W231" s="52"/>
      <c r="X231" s="52"/>
    </row>
    <row r="232">
      <c r="A232" s="52"/>
      <c r="B232" s="60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4"/>
      <c r="R232" s="52"/>
      <c r="S232" s="52"/>
      <c r="T232" s="52"/>
      <c r="U232" s="52"/>
      <c r="V232" s="52"/>
      <c r="W232" s="52"/>
      <c r="X232" s="52"/>
    </row>
    <row r="233">
      <c r="A233" s="52"/>
      <c r="B233" s="60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4"/>
      <c r="R233" s="52"/>
      <c r="S233" s="52"/>
      <c r="T233" s="52"/>
      <c r="U233" s="52"/>
      <c r="V233" s="52"/>
      <c r="W233" s="52"/>
      <c r="X233" s="52"/>
    </row>
    <row r="234">
      <c r="A234" s="52"/>
      <c r="B234" s="60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4"/>
      <c r="R234" s="52"/>
      <c r="S234" s="52"/>
      <c r="T234" s="52"/>
      <c r="U234" s="52"/>
      <c r="V234" s="52"/>
      <c r="W234" s="52"/>
      <c r="X234" s="52"/>
    </row>
    <row r="235">
      <c r="A235" s="52"/>
      <c r="B235" s="60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4"/>
      <c r="R235" s="52"/>
      <c r="S235" s="52"/>
      <c r="T235" s="52"/>
      <c r="U235" s="52"/>
      <c r="V235" s="52"/>
      <c r="W235" s="52"/>
      <c r="X235" s="52"/>
    </row>
    <row r="236">
      <c r="A236" s="52"/>
      <c r="B236" s="60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4"/>
      <c r="R236" s="52"/>
      <c r="S236" s="52"/>
      <c r="T236" s="52"/>
      <c r="U236" s="52"/>
      <c r="V236" s="52"/>
      <c r="W236" s="52"/>
      <c r="X236" s="52"/>
    </row>
    <row r="237">
      <c r="A237" s="52"/>
      <c r="B237" s="60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4"/>
      <c r="R237" s="52"/>
      <c r="S237" s="52"/>
      <c r="T237" s="52"/>
      <c r="U237" s="52"/>
      <c r="V237" s="52"/>
      <c r="W237" s="52"/>
      <c r="X237" s="52"/>
    </row>
    <row r="238">
      <c r="A238" s="52"/>
      <c r="B238" s="60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4"/>
      <c r="R238" s="52"/>
      <c r="S238" s="52"/>
      <c r="T238" s="52"/>
      <c r="U238" s="52"/>
      <c r="V238" s="52"/>
      <c r="W238" s="52"/>
      <c r="X238" s="52"/>
    </row>
    <row r="239">
      <c r="A239" s="52"/>
      <c r="B239" s="60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4"/>
      <c r="R239" s="52"/>
      <c r="S239" s="52"/>
      <c r="T239" s="52"/>
      <c r="U239" s="52"/>
      <c r="V239" s="52"/>
      <c r="W239" s="52"/>
      <c r="X239" s="52"/>
    </row>
    <row r="240">
      <c r="A240" s="52"/>
      <c r="B240" s="60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4"/>
      <c r="R240" s="52"/>
      <c r="S240" s="52"/>
      <c r="T240" s="52"/>
      <c r="U240" s="52"/>
      <c r="V240" s="52"/>
      <c r="W240" s="52"/>
      <c r="X240" s="52"/>
    </row>
    <row r="241">
      <c r="A241" s="52"/>
      <c r="B241" s="60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4"/>
      <c r="R241" s="52"/>
      <c r="S241" s="52"/>
      <c r="T241" s="52"/>
      <c r="U241" s="52"/>
      <c r="V241" s="52"/>
      <c r="W241" s="52"/>
      <c r="X241" s="52"/>
    </row>
    <row r="242">
      <c r="A242" s="52"/>
      <c r="B242" s="60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4"/>
      <c r="R242" s="52"/>
      <c r="S242" s="52"/>
      <c r="T242" s="52"/>
      <c r="U242" s="52"/>
      <c r="V242" s="52"/>
      <c r="W242" s="52"/>
      <c r="X242" s="52"/>
    </row>
    <row r="243">
      <c r="A243" s="52"/>
      <c r="B243" s="60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4"/>
      <c r="R243" s="52"/>
      <c r="S243" s="52"/>
      <c r="T243" s="52"/>
      <c r="U243" s="52"/>
      <c r="V243" s="52"/>
      <c r="W243" s="52"/>
      <c r="X243" s="52"/>
    </row>
    <row r="244">
      <c r="A244" s="52"/>
      <c r="B244" s="60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4"/>
      <c r="R244" s="52"/>
      <c r="S244" s="52"/>
      <c r="T244" s="52"/>
      <c r="U244" s="52"/>
      <c r="V244" s="52"/>
      <c r="W244" s="52"/>
      <c r="X244" s="52"/>
    </row>
    <row r="245">
      <c r="A245" s="52"/>
      <c r="B245" s="60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4"/>
      <c r="R245" s="52"/>
      <c r="S245" s="52"/>
      <c r="T245" s="52"/>
      <c r="U245" s="52"/>
      <c r="V245" s="52"/>
      <c r="W245" s="52"/>
      <c r="X245" s="52"/>
    </row>
    <row r="246">
      <c r="A246" s="52"/>
      <c r="B246" s="60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4"/>
      <c r="R246" s="52"/>
      <c r="S246" s="52"/>
      <c r="T246" s="52"/>
      <c r="U246" s="52"/>
      <c r="V246" s="52"/>
      <c r="W246" s="52"/>
      <c r="X246" s="52"/>
    </row>
    <row r="247">
      <c r="A247" s="52"/>
      <c r="B247" s="60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4"/>
      <c r="R247" s="52"/>
      <c r="S247" s="52"/>
      <c r="T247" s="52"/>
      <c r="U247" s="52"/>
      <c r="V247" s="52"/>
      <c r="W247" s="52"/>
      <c r="X247" s="52"/>
    </row>
    <row r="248">
      <c r="A248" s="52"/>
      <c r="B248" s="60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4"/>
      <c r="R248" s="52"/>
      <c r="S248" s="52"/>
      <c r="T248" s="52"/>
      <c r="U248" s="52"/>
      <c r="V248" s="52"/>
      <c r="W248" s="52"/>
      <c r="X248" s="52"/>
    </row>
    <row r="249">
      <c r="A249" s="52"/>
      <c r="B249" s="60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4"/>
      <c r="R249" s="52"/>
      <c r="S249" s="52"/>
      <c r="T249" s="52"/>
      <c r="U249" s="52"/>
      <c r="V249" s="52"/>
      <c r="W249" s="52"/>
      <c r="X249" s="52"/>
    </row>
    <row r="250">
      <c r="A250" s="52"/>
      <c r="B250" s="60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4"/>
      <c r="R250" s="52"/>
      <c r="S250" s="52"/>
      <c r="T250" s="52"/>
      <c r="U250" s="52"/>
      <c r="V250" s="52"/>
      <c r="W250" s="52"/>
      <c r="X250" s="52"/>
    </row>
    <row r="251">
      <c r="A251" s="52"/>
      <c r="B251" s="60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4"/>
      <c r="R251" s="52"/>
      <c r="S251" s="52"/>
      <c r="T251" s="52"/>
      <c r="U251" s="52"/>
      <c r="V251" s="52"/>
      <c r="W251" s="52"/>
      <c r="X251" s="52"/>
    </row>
    <row r="252">
      <c r="A252" s="52"/>
      <c r="B252" s="60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4"/>
      <c r="R252" s="52"/>
      <c r="S252" s="52"/>
      <c r="T252" s="52"/>
      <c r="U252" s="52"/>
      <c r="V252" s="52"/>
      <c r="W252" s="52"/>
      <c r="X252" s="52"/>
    </row>
    <row r="253">
      <c r="A253" s="52"/>
      <c r="B253" s="60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4"/>
      <c r="R253" s="52"/>
      <c r="S253" s="52"/>
      <c r="T253" s="52"/>
      <c r="U253" s="52"/>
      <c r="V253" s="52"/>
      <c r="W253" s="52"/>
      <c r="X253" s="52"/>
    </row>
    <row r="254">
      <c r="A254" s="52"/>
      <c r="B254" s="60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4"/>
      <c r="R254" s="52"/>
      <c r="S254" s="52"/>
      <c r="T254" s="52"/>
      <c r="U254" s="52"/>
      <c r="V254" s="52"/>
      <c r="W254" s="52"/>
      <c r="X254" s="52"/>
    </row>
    <row r="255">
      <c r="A255" s="52"/>
      <c r="B255" s="60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4"/>
      <c r="R255" s="52"/>
      <c r="S255" s="52"/>
      <c r="T255" s="52"/>
      <c r="U255" s="52"/>
      <c r="V255" s="52"/>
      <c r="W255" s="52"/>
      <c r="X255" s="52"/>
    </row>
    <row r="256">
      <c r="A256" s="52"/>
      <c r="B256" s="60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4"/>
      <c r="R256" s="52"/>
      <c r="S256" s="52"/>
      <c r="T256" s="52"/>
      <c r="U256" s="52"/>
      <c r="V256" s="52"/>
      <c r="W256" s="52"/>
      <c r="X256" s="52"/>
    </row>
    <row r="257">
      <c r="A257" s="52"/>
      <c r="B257" s="60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4"/>
      <c r="R257" s="52"/>
      <c r="S257" s="52"/>
      <c r="T257" s="52"/>
      <c r="U257" s="52"/>
      <c r="V257" s="52"/>
      <c r="W257" s="52"/>
      <c r="X257" s="52"/>
    </row>
    <row r="258">
      <c r="A258" s="52"/>
      <c r="B258" s="60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4"/>
      <c r="R258" s="52"/>
      <c r="S258" s="52"/>
      <c r="T258" s="52"/>
      <c r="U258" s="52"/>
      <c r="V258" s="52"/>
      <c r="W258" s="52"/>
      <c r="X258" s="52"/>
    </row>
    <row r="259">
      <c r="A259" s="52"/>
      <c r="B259" s="60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4"/>
      <c r="R259" s="52"/>
      <c r="S259" s="52"/>
      <c r="T259" s="52"/>
      <c r="U259" s="52"/>
      <c r="V259" s="52"/>
      <c r="W259" s="52"/>
      <c r="X259" s="52"/>
    </row>
    <row r="260">
      <c r="A260" s="52"/>
      <c r="B260" s="60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4"/>
      <c r="R260" s="52"/>
      <c r="S260" s="52"/>
      <c r="T260" s="52"/>
      <c r="U260" s="52"/>
      <c r="V260" s="52"/>
      <c r="W260" s="52"/>
      <c r="X260" s="52"/>
    </row>
    <row r="261">
      <c r="A261" s="52"/>
      <c r="B261" s="60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4"/>
      <c r="R261" s="52"/>
      <c r="S261" s="52"/>
      <c r="T261" s="52"/>
      <c r="U261" s="52"/>
      <c r="V261" s="52"/>
      <c r="W261" s="52"/>
      <c r="X261" s="52"/>
    </row>
    <row r="262">
      <c r="A262" s="52"/>
      <c r="B262" s="60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4"/>
      <c r="R262" s="52"/>
      <c r="S262" s="52"/>
      <c r="T262" s="52"/>
      <c r="U262" s="52"/>
      <c r="V262" s="52"/>
      <c r="W262" s="52"/>
      <c r="X262" s="52"/>
    </row>
    <row r="263">
      <c r="A263" s="52"/>
      <c r="B263" s="60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4"/>
      <c r="R263" s="52"/>
      <c r="S263" s="52"/>
      <c r="T263" s="52"/>
      <c r="U263" s="52"/>
      <c r="V263" s="52"/>
      <c r="W263" s="52"/>
      <c r="X263" s="52"/>
    </row>
    <row r="264">
      <c r="A264" s="52"/>
      <c r="B264" s="60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4"/>
      <c r="R264" s="52"/>
      <c r="S264" s="52"/>
      <c r="T264" s="52"/>
      <c r="U264" s="52"/>
      <c r="V264" s="52"/>
      <c r="W264" s="52"/>
      <c r="X264" s="52"/>
    </row>
    <row r="265">
      <c r="A265" s="52"/>
      <c r="B265" s="60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4"/>
      <c r="R265" s="52"/>
      <c r="S265" s="52"/>
      <c r="T265" s="52"/>
      <c r="U265" s="52"/>
      <c r="V265" s="52"/>
      <c r="W265" s="52"/>
      <c r="X265" s="52"/>
    </row>
    <row r="266">
      <c r="A266" s="52"/>
      <c r="B266" s="60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4"/>
      <c r="R266" s="52"/>
      <c r="S266" s="52"/>
      <c r="T266" s="52"/>
      <c r="U266" s="52"/>
      <c r="V266" s="52"/>
      <c r="W266" s="52"/>
      <c r="X266" s="52"/>
    </row>
    <row r="267">
      <c r="A267" s="52"/>
      <c r="B267" s="60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4"/>
      <c r="R267" s="52"/>
      <c r="S267" s="52"/>
      <c r="T267" s="52"/>
      <c r="U267" s="52"/>
      <c r="V267" s="52"/>
      <c r="W267" s="52"/>
      <c r="X267" s="52"/>
    </row>
    <row r="268">
      <c r="A268" s="52"/>
      <c r="B268" s="60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4"/>
      <c r="R268" s="52"/>
      <c r="S268" s="52"/>
      <c r="T268" s="52"/>
      <c r="U268" s="52"/>
      <c r="V268" s="52"/>
      <c r="W268" s="52"/>
      <c r="X268" s="52"/>
    </row>
    <row r="269">
      <c r="A269" s="52"/>
      <c r="B269" s="60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4"/>
      <c r="R269" s="52"/>
      <c r="S269" s="52"/>
      <c r="T269" s="52"/>
      <c r="U269" s="52"/>
      <c r="V269" s="52"/>
      <c r="W269" s="52"/>
      <c r="X269" s="52"/>
    </row>
    <row r="270">
      <c r="A270" s="52"/>
      <c r="B270" s="60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4"/>
      <c r="R270" s="52"/>
      <c r="S270" s="52"/>
      <c r="T270" s="52"/>
      <c r="U270" s="52"/>
      <c r="V270" s="52"/>
      <c r="W270" s="52"/>
      <c r="X270" s="52"/>
    </row>
    <row r="271">
      <c r="A271" s="52"/>
      <c r="B271" s="60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4"/>
      <c r="R271" s="52"/>
      <c r="S271" s="52"/>
      <c r="T271" s="52"/>
      <c r="U271" s="52"/>
      <c r="V271" s="52"/>
      <c r="W271" s="52"/>
      <c r="X271" s="52"/>
    </row>
    <row r="272">
      <c r="A272" s="52"/>
      <c r="B272" s="60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4"/>
      <c r="R272" s="52"/>
      <c r="S272" s="52"/>
      <c r="T272" s="52"/>
      <c r="U272" s="52"/>
      <c r="V272" s="52"/>
      <c r="W272" s="52"/>
      <c r="X272" s="52"/>
    </row>
    <row r="273">
      <c r="A273" s="52"/>
      <c r="B273" s="60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4"/>
      <c r="R273" s="52"/>
      <c r="S273" s="52"/>
      <c r="T273" s="52"/>
      <c r="U273" s="52"/>
      <c r="V273" s="52"/>
      <c r="W273" s="52"/>
      <c r="X273" s="52"/>
    </row>
    <row r="274">
      <c r="A274" s="52"/>
      <c r="B274" s="60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4"/>
      <c r="R274" s="52"/>
      <c r="S274" s="52"/>
      <c r="T274" s="52"/>
      <c r="U274" s="52"/>
      <c r="V274" s="52"/>
      <c r="W274" s="52"/>
      <c r="X274" s="52"/>
    </row>
    <row r="275">
      <c r="A275" s="52"/>
      <c r="B275" s="60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4"/>
      <c r="R275" s="52"/>
      <c r="S275" s="52"/>
      <c r="T275" s="52"/>
      <c r="U275" s="52"/>
      <c r="V275" s="52"/>
      <c r="W275" s="52"/>
      <c r="X275" s="52"/>
    </row>
    <row r="276">
      <c r="A276" s="52"/>
      <c r="B276" s="60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4"/>
      <c r="R276" s="52"/>
      <c r="S276" s="52"/>
      <c r="T276" s="52"/>
      <c r="U276" s="52"/>
      <c r="V276" s="52"/>
      <c r="W276" s="52"/>
      <c r="X276" s="52"/>
    </row>
    <row r="277">
      <c r="A277" s="52"/>
      <c r="B277" s="60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4"/>
      <c r="R277" s="52"/>
      <c r="S277" s="52"/>
      <c r="T277" s="52"/>
      <c r="U277" s="52"/>
      <c r="V277" s="52"/>
      <c r="W277" s="52"/>
      <c r="X277" s="52"/>
    </row>
    <row r="278">
      <c r="A278" s="52"/>
      <c r="B278" s="60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4"/>
      <c r="R278" s="52"/>
      <c r="S278" s="52"/>
      <c r="T278" s="52"/>
      <c r="U278" s="52"/>
      <c r="V278" s="52"/>
      <c r="W278" s="52"/>
      <c r="X278" s="52"/>
    </row>
    <row r="279">
      <c r="A279" s="52"/>
      <c r="B279" s="60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4"/>
      <c r="R279" s="52"/>
      <c r="S279" s="52"/>
      <c r="T279" s="52"/>
      <c r="U279" s="52"/>
      <c r="V279" s="52"/>
      <c r="W279" s="52"/>
      <c r="X279" s="52"/>
    </row>
    <row r="280">
      <c r="A280" s="52"/>
      <c r="B280" s="60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4"/>
      <c r="R280" s="52"/>
      <c r="S280" s="52"/>
      <c r="T280" s="52"/>
      <c r="U280" s="52"/>
      <c r="V280" s="52"/>
      <c r="W280" s="52"/>
      <c r="X280" s="52"/>
    </row>
    <row r="281">
      <c r="A281" s="52"/>
      <c r="B281" s="60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4"/>
      <c r="R281" s="52"/>
      <c r="S281" s="52"/>
      <c r="T281" s="52"/>
      <c r="U281" s="52"/>
      <c r="V281" s="52"/>
      <c r="W281" s="52"/>
      <c r="X281" s="52"/>
    </row>
    <row r="282">
      <c r="A282" s="52"/>
      <c r="B282" s="60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4"/>
      <c r="R282" s="52"/>
      <c r="S282" s="52"/>
      <c r="T282" s="52"/>
      <c r="U282" s="52"/>
      <c r="V282" s="52"/>
      <c r="W282" s="52"/>
      <c r="X282" s="52"/>
    </row>
    <row r="283">
      <c r="A283" s="52"/>
      <c r="B283" s="60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4"/>
      <c r="R283" s="52"/>
      <c r="S283" s="52"/>
      <c r="T283" s="52"/>
      <c r="U283" s="52"/>
      <c r="V283" s="52"/>
      <c r="W283" s="52"/>
      <c r="X283" s="52"/>
    </row>
    <row r="284">
      <c r="A284" s="52"/>
      <c r="B284" s="60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4"/>
      <c r="R284" s="52"/>
      <c r="S284" s="52"/>
      <c r="T284" s="52"/>
      <c r="U284" s="52"/>
      <c r="V284" s="52"/>
      <c r="W284" s="52"/>
      <c r="X284" s="52"/>
    </row>
    <row r="285">
      <c r="A285" s="52"/>
      <c r="B285" s="60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4"/>
      <c r="R285" s="52"/>
      <c r="S285" s="52"/>
      <c r="T285" s="52"/>
      <c r="U285" s="52"/>
      <c r="V285" s="52"/>
      <c r="W285" s="52"/>
      <c r="X285" s="52"/>
    </row>
    <row r="286">
      <c r="A286" s="52"/>
      <c r="B286" s="60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4"/>
      <c r="R286" s="52"/>
      <c r="S286" s="52"/>
      <c r="T286" s="52"/>
      <c r="U286" s="52"/>
      <c r="V286" s="52"/>
      <c r="W286" s="52"/>
      <c r="X286" s="52"/>
    </row>
    <row r="287">
      <c r="A287" s="52"/>
      <c r="B287" s="60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4"/>
      <c r="R287" s="52"/>
      <c r="S287" s="52"/>
      <c r="T287" s="52"/>
      <c r="U287" s="52"/>
      <c r="V287" s="52"/>
      <c r="W287" s="52"/>
      <c r="X287" s="52"/>
    </row>
    <row r="288">
      <c r="A288" s="52"/>
      <c r="B288" s="60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4"/>
      <c r="R288" s="52"/>
      <c r="S288" s="52"/>
      <c r="T288" s="52"/>
      <c r="U288" s="52"/>
      <c r="V288" s="52"/>
      <c r="W288" s="52"/>
      <c r="X288" s="52"/>
    </row>
    <row r="289">
      <c r="A289" s="52"/>
      <c r="B289" s="60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4"/>
      <c r="R289" s="52"/>
      <c r="S289" s="52"/>
      <c r="T289" s="52"/>
      <c r="U289" s="52"/>
      <c r="V289" s="52"/>
      <c r="W289" s="52"/>
      <c r="X289" s="52"/>
    </row>
    <row r="290">
      <c r="A290" s="52"/>
      <c r="B290" s="60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4"/>
      <c r="R290" s="52"/>
      <c r="S290" s="52"/>
      <c r="T290" s="52"/>
      <c r="U290" s="52"/>
      <c r="V290" s="52"/>
      <c r="W290" s="52"/>
      <c r="X290" s="52"/>
    </row>
    <row r="291">
      <c r="A291" s="52"/>
      <c r="B291" s="60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4"/>
      <c r="R291" s="52"/>
      <c r="S291" s="52"/>
      <c r="T291" s="52"/>
      <c r="U291" s="52"/>
      <c r="V291" s="52"/>
      <c r="W291" s="52"/>
      <c r="X291" s="52"/>
    </row>
    <row r="292">
      <c r="A292" s="52"/>
      <c r="B292" s="60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4"/>
      <c r="R292" s="52"/>
      <c r="S292" s="52"/>
      <c r="T292" s="52"/>
      <c r="U292" s="52"/>
      <c r="V292" s="52"/>
      <c r="W292" s="52"/>
      <c r="X292" s="52"/>
    </row>
    <row r="293">
      <c r="A293" s="52"/>
      <c r="B293" s="60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4"/>
      <c r="R293" s="52"/>
      <c r="S293" s="52"/>
      <c r="T293" s="52"/>
      <c r="U293" s="52"/>
      <c r="V293" s="52"/>
      <c r="W293" s="52"/>
      <c r="X293" s="52"/>
    </row>
    <row r="294">
      <c r="A294" s="52"/>
      <c r="B294" s="60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4"/>
      <c r="R294" s="52"/>
      <c r="S294" s="52"/>
      <c r="T294" s="52"/>
      <c r="U294" s="52"/>
      <c r="V294" s="52"/>
      <c r="W294" s="52"/>
      <c r="X294" s="52"/>
    </row>
    <row r="295">
      <c r="A295" s="52"/>
      <c r="B295" s="60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4"/>
      <c r="R295" s="52"/>
      <c r="S295" s="52"/>
      <c r="T295" s="52"/>
      <c r="U295" s="52"/>
      <c r="V295" s="52"/>
      <c r="W295" s="52"/>
      <c r="X295" s="52"/>
    </row>
    <row r="296">
      <c r="A296" s="52"/>
      <c r="B296" s="60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4"/>
      <c r="R296" s="52"/>
      <c r="S296" s="52"/>
      <c r="T296" s="52"/>
      <c r="U296" s="52"/>
      <c r="V296" s="52"/>
      <c r="W296" s="52"/>
      <c r="X296" s="52"/>
    </row>
    <row r="297">
      <c r="A297" s="52"/>
      <c r="B297" s="60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4"/>
      <c r="R297" s="52"/>
      <c r="S297" s="52"/>
      <c r="T297" s="52"/>
      <c r="U297" s="52"/>
      <c r="V297" s="52"/>
      <c r="W297" s="52"/>
      <c r="X297" s="52"/>
    </row>
    <row r="298">
      <c r="A298" s="52"/>
      <c r="B298" s="60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4"/>
      <c r="R298" s="52"/>
      <c r="S298" s="52"/>
      <c r="T298" s="52"/>
      <c r="U298" s="52"/>
      <c r="V298" s="52"/>
      <c r="W298" s="52"/>
      <c r="X298" s="52"/>
    </row>
    <row r="299">
      <c r="A299" s="52"/>
      <c r="B299" s="60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4"/>
      <c r="R299" s="52"/>
      <c r="S299" s="52"/>
      <c r="T299" s="52"/>
      <c r="U299" s="52"/>
      <c r="V299" s="52"/>
      <c r="W299" s="52"/>
      <c r="X299" s="52"/>
    </row>
    <row r="300">
      <c r="A300" s="52"/>
      <c r="B300" s="60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4"/>
      <c r="R300" s="52"/>
      <c r="S300" s="52"/>
      <c r="T300" s="52"/>
      <c r="U300" s="52"/>
      <c r="V300" s="52"/>
      <c r="W300" s="52"/>
      <c r="X300" s="52"/>
    </row>
    <row r="301">
      <c r="A301" s="52"/>
      <c r="B301" s="60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4"/>
      <c r="R301" s="52"/>
      <c r="S301" s="52"/>
      <c r="T301" s="52"/>
      <c r="U301" s="52"/>
      <c r="V301" s="52"/>
      <c r="W301" s="52"/>
      <c r="X301" s="52"/>
    </row>
    <row r="302">
      <c r="A302" s="52"/>
      <c r="B302" s="60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4"/>
      <c r="R302" s="52"/>
      <c r="S302" s="52"/>
      <c r="T302" s="52"/>
      <c r="U302" s="52"/>
      <c r="V302" s="52"/>
      <c r="W302" s="52"/>
      <c r="X302" s="52"/>
    </row>
    <row r="303">
      <c r="A303" s="52"/>
      <c r="B303" s="60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4"/>
      <c r="R303" s="52"/>
      <c r="S303" s="52"/>
      <c r="T303" s="52"/>
      <c r="U303" s="52"/>
      <c r="V303" s="52"/>
      <c r="W303" s="52"/>
      <c r="X303" s="52"/>
    </row>
    <row r="304">
      <c r="A304" s="52"/>
      <c r="B304" s="60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4"/>
      <c r="R304" s="52"/>
      <c r="S304" s="52"/>
      <c r="T304" s="52"/>
      <c r="U304" s="52"/>
      <c r="V304" s="52"/>
      <c r="W304" s="52"/>
      <c r="X304" s="52"/>
    </row>
    <row r="305">
      <c r="A305" s="52"/>
      <c r="B305" s="60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4"/>
      <c r="R305" s="52"/>
      <c r="S305" s="52"/>
      <c r="T305" s="52"/>
      <c r="U305" s="52"/>
      <c r="V305" s="52"/>
      <c r="W305" s="52"/>
      <c r="X305" s="52"/>
    </row>
    <row r="306">
      <c r="A306" s="52"/>
      <c r="B306" s="60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4"/>
      <c r="R306" s="52"/>
      <c r="S306" s="52"/>
      <c r="T306" s="52"/>
      <c r="U306" s="52"/>
      <c r="V306" s="52"/>
      <c r="W306" s="52"/>
      <c r="X306" s="52"/>
    </row>
    <row r="307">
      <c r="A307" s="52"/>
      <c r="B307" s="60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4"/>
      <c r="R307" s="52"/>
      <c r="S307" s="52"/>
      <c r="T307" s="52"/>
      <c r="U307" s="52"/>
      <c r="V307" s="52"/>
      <c r="W307" s="52"/>
      <c r="X307" s="52"/>
    </row>
    <row r="308">
      <c r="A308" s="52"/>
      <c r="B308" s="60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4"/>
      <c r="R308" s="52"/>
      <c r="S308" s="52"/>
      <c r="T308" s="52"/>
      <c r="U308" s="52"/>
      <c r="V308" s="52"/>
      <c r="W308" s="52"/>
      <c r="X308" s="52"/>
    </row>
    <row r="309">
      <c r="A309" s="52"/>
      <c r="B309" s="60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4"/>
      <c r="R309" s="52"/>
      <c r="S309" s="52"/>
      <c r="T309" s="52"/>
      <c r="U309" s="52"/>
      <c r="V309" s="52"/>
      <c r="W309" s="52"/>
      <c r="X309" s="52"/>
    </row>
    <row r="310">
      <c r="A310" s="52"/>
      <c r="B310" s="60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4"/>
      <c r="R310" s="52"/>
      <c r="S310" s="52"/>
      <c r="T310" s="52"/>
      <c r="U310" s="52"/>
      <c r="V310" s="52"/>
      <c r="W310" s="52"/>
      <c r="X310" s="52"/>
    </row>
    <row r="311">
      <c r="A311" s="52"/>
      <c r="B311" s="60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4"/>
      <c r="R311" s="52"/>
      <c r="S311" s="52"/>
      <c r="T311" s="52"/>
      <c r="U311" s="52"/>
      <c r="V311" s="52"/>
      <c r="W311" s="52"/>
      <c r="X311" s="52"/>
    </row>
    <row r="312">
      <c r="A312" s="52"/>
      <c r="B312" s="60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4"/>
      <c r="R312" s="52"/>
      <c r="S312" s="52"/>
      <c r="T312" s="52"/>
      <c r="U312" s="52"/>
      <c r="V312" s="52"/>
      <c r="W312" s="52"/>
      <c r="X312" s="52"/>
    </row>
    <row r="313">
      <c r="A313" s="52"/>
      <c r="B313" s="60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4"/>
      <c r="R313" s="52"/>
      <c r="S313" s="52"/>
      <c r="T313" s="52"/>
      <c r="U313" s="52"/>
      <c r="V313" s="52"/>
      <c r="W313" s="52"/>
      <c r="X313" s="52"/>
    </row>
    <row r="314">
      <c r="A314" s="52"/>
      <c r="B314" s="60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4"/>
      <c r="R314" s="52"/>
      <c r="S314" s="52"/>
      <c r="T314" s="52"/>
      <c r="U314" s="52"/>
      <c r="V314" s="52"/>
      <c r="W314" s="52"/>
      <c r="X314" s="52"/>
    </row>
    <row r="315">
      <c r="A315" s="52"/>
      <c r="B315" s="60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4"/>
      <c r="R315" s="52"/>
      <c r="S315" s="52"/>
      <c r="T315" s="52"/>
      <c r="U315" s="52"/>
      <c r="V315" s="52"/>
      <c r="W315" s="52"/>
      <c r="X315" s="52"/>
    </row>
    <row r="316">
      <c r="A316" s="52"/>
      <c r="B316" s="60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4"/>
      <c r="R316" s="52"/>
      <c r="S316" s="52"/>
      <c r="T316" s="52"/>
      <c r="U316" s="52"/>
      <c r="V316" s="52"/>
      <c r="W316" s="52"/>
      <c r="X316" s="52"/>
    </row>
    <row r="317">
      <c r="A317" s="52"/>
      <c r="B317" s="60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4"/>
      <c r="R317" s="52"/>
      <c r="S317" s="52"/>
      <c r="T317" s="52"/>
      <c r="U317" s="52"/>
      <c r="V317" s="52"/>
      <c r="W317" s="52"/>
      <c r="X317" s="52"/>
    </row>
    <row r="318">
      <c r="A318" s="52"/>
      <c r="B318" s="60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4"/>
      <c r="R318" s="52"/>
      <c r="S318" s="52"/>
      <c r="T318" s="52"/>
      <c r="U318" s="52"/>
      <c r="V318" s="52"/>
      <c r="W318" s="52"/>
      <c r="X318" s="52"/>
    </row>
    <row r="319">
      <c r="A319" s="52"/>
      <c r="B319" s="60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4"/>
      <c r="R319" s="52"/>
      <c r="S319" s="52"/>
      <c r="T319" s="52"/>
      <c r="U319" s="52"/>
      <c r="V319" s="52"/>
      <c r="W319" s="52"/>
      <c r="X319" s="52"/>
    </row>
    <row r="320">
      <c r="A320" s="52"/>
      <c r="B320" s="60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4"/>
      <c r="R320" s="52"/>
      <c r="S320" s="52"/>
      <c r="T320" s="52"/>
      <c r="U320" s="52"/>
      <c r="V320" s="52"/>
      <c r="W320" s="52"/>
      <c r="X320" s="52"/>
    </row>
    <row r="321">
      <c r="A321" s="52"/>
      <c r="B321" s="60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4"/>
      <c r="R321" s="52"/>
      <c r="S321" s="52"/>
      <c r="T321" s="52"/>
      <c r="U321" s="52"/>
      <c r="V321" s="52"/>
      <c r="W321" s="52"/>
      <c r="X321" s="52"/>
    </row>
    <row r="322">
      <c r="A322" s="52"/>
      <c r="B322" s="60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4"/>
      <c r="R322" s="52"/>
      <c r="S322" s="52"/>
      <c r="T322" s="52"/>
      <c r="U322" s="52"/>
      <c r="V322" s="52"/>
      <c r="W322" s="52"/>
      <c r="X322" s="52"/>
    </row>
    <row r="323">
      <c r="A323" s="52"/>
      <c r="B323" s="60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4"/>
      <c r="R323" s="52"/>
      <c r="S323" s="52"/>
      <c r="T323" s="52"/>
      <c r="U323" s="52"/>
      <c r="V323" s="52"/>
      <c r="W323" s="52"/>
      <c r="X323" s="52"/>
    </row>
    <row r="324">
      <c r="A324" s="52"/>
      <c r="B324" s="60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4"/>
      <c r="R324" s="52"/>
      <c r="S324" s="52"/>
      <c r="T324" s="52"/>
      <c r="U324" s="52"/>
      <c r="V324" s="52"/>
      <c r="W324" s="52"/>
      <c r="X324" s="52"/>
    </row>
    <row r="325">
      <c r="A325" s="52"/>
      <c r="B325" s="60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4"/>
      <c r="R325" s="52"/>
      <c r="S325" s="52"/>
      <c r="T325" s="52"/>
      <c r="U325" s="52"/>
      <c r="V325" s="52"/>
      <c r="W325" s="52"/>
      <c r="X325" s="52"/>
    </row>
    <row r="326">
      <c r="A326" s="52"/>
      <c r="B326" s="60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4"/>
      <c r="R326" s="52"/>
      <c r="S326" s="52"/>
      <c r="T326" s="52"/>
      <c r="U326" s="52"/>
      <c r="V326" s="52"/>
      <c r="W326" s="52"/>
      <c r="X326" s="52"/>
    </row>
    <row r="327">
      <c r="A327" s="52"/>
      <c r="B327" s="60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4"/>
      <c r="R327" s="52"/>
      <c r="S327" s="52"/>
      <c r="T327" s="52"/>
      <c r="U327" s="52"/>
      <c r="V327" s="52"/>
      <c r="W327" s="52"/>
      <c r="X327" s="52"/>
    </row>
    <row r="328">
      <c r="A328" s="52"/>
      <c r="B328" s="60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4"/>
      <c r="R328" s="52"/>
      <c r="S328" s="52"/>
      <c r="T328" s="52"/>
      <c r="U328" s="52"/>
      <c r="V328" s="52"/>
      <c r="W328" s="52"/>
      <c r="X328" s="52"/>
    </row>
    <row r="329">
      <c r="A329" s="52"/>
      <c r="B329" s="60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4"/>
      <c r="R329" s="52"/>
      <c r="S329" s="52"/>
      <c r="T329" s="52"/>
      <c r="U329" s="52"/>
      <c r="V329" s="52"/>
      <c r="W329" s="52"/>
      <c r="X329" s="52"/>
    </row>
    <row r="330">
      <c r="A330" s="52"/>
      <c r="B330" s="60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4"/>
      <c r="R330" s="52"/>
      <c r="S330" s="52"/>
      <c r="T330" s="52"/>
      <c r="U330" s="52"/>
      <c r="V330" s="52"/>
      <c r="W330" s="52"/>
      <c r="X330" s="52"/>
    </row>
    <row r="331">
      <c r="A331" s="52"/>
      <c r="B331" s="60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4"/>
      <c r="R331" s="52"/>
      <c r="S331" s="52"/>
      <c r="T331" s="52"/>
      <c r="U331" s="52"/>
      <c r="V331" s="52"/>
      <c r="W331" s="52"/>
      <c r="X331" s="52"/>
    </row>
    <row r="332">
      <c r="A332" s="52"/>
      <c r="B332" s="60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4"/>
      <c r="R332" s="52"/>
      <c r="S332" s="52"/>
      <c r="T332" s="52"/>
      <c r="U332" s="52"/>
      <c r="V332" s="52"/>
      <c r="W332" s="52"/>
      <c r="X332" s="52"/>
    </row>
    <row r="333">
      <c r="A333" s="52"/>
      <c r="B333" s="60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4"/>
      <c r="R333" s="52"/>
      <c r="S333" s="52"/>
      <c r="T333" s="52"/>
      <c r="U333" s="52"/>
      <c r="V333" s="52"/>
      <c r="W333" s="52"/>
      <c r="X333" s="52"/>
    </row>
    <row r="334">
      <c r="A334" s="52"/>
      <c r="B334" s="60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4"/>
      <c r="R334" s="52"/>
      <c r="S334" s="52"/>
      <c r="T334" s="52"/>
      <c r="U334" s="52"/>
      <c r="V334" s="52"/>
      <c r="W334" s="52"/>
      <c r="X334" s="52"/>
    </row>
    <row r="335">
      <c r="A335" s="52"/>
      <c r="B335" s="60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4"/>
      <c r="R335" s="52"/>
      <c r="S335" s="52"/>
      <c r="T335" s="52"/>
      <c r="U335" s="52"/>
      <c r="V335" s="52"/>
      <c r="W335" s="52"/>
      <c r="X335" s="52"/>
    </row>
    <row r="336">
      <c r="A336" s="52"/>
      <c r="B336" s="60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4"/>
      <c r="R336" s="52"/>
      <c r="S336" s="52"/>
      <c r="T336" s="52"/>
      <c r="U336" s="52"/>
      <c r="V336" s="52"/>
      <c r="W336" s="52"/>
      <c r="X336" s="52"/>
    </row>
    <row r="337">
      <c r="A337" s="52"/>
      <c r="B337" s="60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4"/>
      <c r="R337" s="52"/>
      <c r="S337" s="52"/>
      <c r="T337" s="52"/>
      <c r="U337" s="52"/>
      <c r="V337" s="52"/>
      <c r="W337" s="52"/>
      <c r="X337" s="52"/>
    </row>
    <row r="338">
      <c r="A338" s="52"/>
      <c r="B338" s="60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4"/>
      <c r="R338" s="52"/>
      <c r="S338" s="52"/>
      <c r="T338" s="52"/>
      <c r="U338" s="52"/>
      <c r="V338" s="52"/>
      <c r="W338" s="52"/>
      <c r="X338" s="52"/>
    </row>
    <row r="339">
      <c r="A339" s="52"/>
      <c r="B339" s="60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4"/>
      <c r="R339" s="52"/>
      <c r="S339" s="52"/>
      <c r="T339" s="52"/>
      <c r="U339" s="52"/>
      <c r="V339" s="52"/>
      <c r="W339" s="52"/>
      <c r="X339" s="52"/>
    </row>
    <row r="340">
      <c r="A340" s="52"/>
      <c r="B340" s="60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4"/>
      <c r="R340" s="52"/>
      <c r="S340" s="52"/>
      <c r="T340" s="52"/>
      <c r="U340" s="52"/>
      <c r="V340" s="52"/>
      <c r="W340" s="52"/>
      <c r="X340" s="52"/>
    </row>
    <row r="341">
      <c r="A341" s="52"/>
      <c r="B341" s="60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4"/>
      <c r="R341" s="52"/>
      <c r="S341" s="52"/>
      <c r="T341" s="52"/>
      <c r="U341" s="52"/>
      <c r="V341" s="52"/>
      <c r="W341" s="52"/>
      <c r="X341" s="52"/>
    </row>
    <row r="342">
      <c r="A342" s="52"/>
      <c r="B342" s="60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4"/>
      <c r="R342" s="52"/>
      <c r="S342" s="52"/>
      <c r="T342" s="52"/>
      <c r="U342" s="52"/>
      <c r="V342" s="52"/>
      <c r="W342" s="52"/>
      <c r="X342" s="52"/>
    </row>
    <row r="343">
      <c r="A343" s="52"/>
      <c r="B343" s="60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4"/>
      <c r="R343" s="52"/>
      <c r="S343" s="52"/>
      <c r="T343" s="52"/>
      <c r="U343" s="52"/>
      <c r="V343" s="52"/>
      <c r="W343" s="52"/>
      <c r="X343" s="52"/>
    </row>
    <row r="344">
      <c r="A344" s="52"/>
      <c r="B344" s="60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4"/>
      <c r="R344" s="52"/>
      <c r="S344" s="52"/>
      <c r="T344" s="52"/>
      <c r="U344" s="52"/>
      <c r="V344" s="52"/>
      <c r="W344" s="52"/>
      <c r="X344" s="52"/>
    </row>
    <row r="345">
      <c r="A345" s="52"/>
      <c r="B345" s="60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4"/>
      <c r="R345" s="52"/>
      <c r="S345" s="52"/>
      <c r="T345" s="52"/>
      <c r="U345" s="52"/>
      <c r="V345" s="52"/>
      <c r="W345" s="52"/>
      <c r="X345" s="52"/>
    </row>
    <row r="346">
      <c r="A346" s="52"/>
      <c r="B346" s="60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4"/>
      <c r="R346" s="52"/>
      <c r="S346" s="52"/>
      <c r="T346" s="52"/>
      <c r="U346" s="52"/>
      <c r="V346" s="52"/>
      <c r="W346" s="52"/>
      <c r="X346" s="52"/>
    </row>
    <row r="347">
      <c r="A347" s="52"/>
      <c r="B347" s="60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4"/>
      <c r="R347" s="52"/>
      <c r="S347" s="52"/>
      <c r="T347" s="52"/>
      <c r="U347" s="52"/>
      <c r="V347" s="52"/>
      <c r="W347" s="52"/>
      <c r="X347" s="52"/>
    </row>
    <row r="348">
      <c r="A348" s="52"/>
      <c r="B348" s="60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4"/>
      <c r="R348" s="52"/>
      <c r="S348" s="52"/>
      <c r="T348" s="52"/>
      <c r="U348" s="52"/>
      <c r="V348" s="52"/>
      <c r="W348" s="52"/>
      <c r="X348" s="52"/>
    </row>
    <row r="349">
      <c r="A349" s="52"/>
      <c r="B349" s="60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4"/>
      <c r="R349" s="52"/>
      <c r="S349" s="52"/>
      <c r="T349" s="52"/>
      <c r="U349" s="52"/>
      <c r="V349" s="52"/>
      <c r="W349" s="52"/>
      <c r="X349" s="52"/>
    </row>
    <row r="350">
      <c r="A350" s="52"/>
      <c r="B350" s="60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4"/>
      <c r="R350" s="52"/>
      <c r="S350" s="52"/>
      <c r="T350" s="52"/>
      <c r="U350" s="52"/>
      <c r="V350" s="52"/>
      <c r="W350" s="52"/>
      <c r="X350" s="52"/>
    </row>
    <row r="351">
      <c r="A351" s="52"/>
      <c r="B351" s="60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4"/>
      <c r="R351" s="52"/>
      <c r="S351" s="52"/>
      <c r="T351" s="52"/>
      <c r="U351" s="52"/>
      <c r="V351" s="52"/>
      <c r="W351" s="52"/>
      <c r="X351" s="52"/>
    </row>
    <row r="352">
      <c r="A352" s="52"/>
      <c r="B352" s="60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4"/>
      <c r="R352" s="52"/>
      <c r="S352" s="52"/>
      <c r="T352" s="52"/>
      <c r="U352" s="52"/>
      <c r="V352" s="52"/>
      <c r="W352" s="52"/>
      <c r="X352" s="52"/>
    </row>
    <row r="353">
      <c r="A353" s="52"/>
      <c r="B353" s="60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4"/>
      <c r="R353" s="52"/>
      <c r="S353" s="52"/>
      <c r="T353" s="52"/>
      <c r="U353" s="52"/>
      <c r="V353" s="52"/>
      <c r="W353" s="52"/>
      <c r="X353" s="52"/>
    </row>
    <row r="354">
      <c r="A354" s="52"/>
      <c r="B354" s="60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4"/>
      <c r="R354" s="52"/>
      <c r="S354" s="52"/>
      <c r="T354" s="52"/>
      <c r="U354" s="52"/>
      <c r="V354" s="52"/>
      <c r="W354" s="52"/>
      <c r="X354" s="52"/>
    </row>
    <row r="355">
      <c r="A355" s="52"/>
      <c r="B355" s="60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4"/>
      <c r="R355" s="52"/>
      <c r="S355" s="52"/>
      <c r="T355" s="52"/>
      <c r="U355" s="52"/>
      <c r="V355" s="52"/>
      <c r="W355" s="52"/>
      <c r="X355" s="52"/>
    </row>
    <row r="356">
      <c r="A356" s="52"/>
      <c r="B356" s="60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4"/>
      <c r="R356" s="52"/>
      <c r="S356" s="52"/>
      <c r="T356" s="52"/>
      <c r="U356" s="52"/>
      <c r="V356" s="52"/>
      <c r="W356" s="52"/>
      <c r="X356" s="52"/>
    </row>
    <row r="357">
      <c r="A357" s="52"/>
      <c r="B357" s="60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4"/>
      <c r="R357" s="52"/>
      <c r="S357" s="52"/>
      <c r="T357" s="52"/>
      <c r="U357" s="52"/>
      <c r="V357" s="52"/>
      <c r="W357" s="52"/>
      <c r="X357" s="52"/>
    </row>
    <row r="358">
      <c r="A358" s="52"/>
      <c r="B358" s="60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4"/>
      <c r="R358" s="52"/>
      <c r="S358" s="52"/>
      <c r="T358" s="52"/>
      <c r="U358" s="52"/>
      <c r="V358" s="52"/>
      <c r="W358" s="52"/>
      <c r="X358" s="52"/>
    </row>
    <row r="359">
      <c r="A359" s="52"/>
      <c r="B359" s="60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4"/>
      <c r="R359" s="52"/>
      <c r="S359" s="52"/>
      <c r="T359" s="52"/>
      <c r="U359" s="52"/>
      <c r="V359" s="52"/>
      <c r="W359" s="52"/>
      <c r="X359" s="52"/>
    </row>
    <row r="360">
      <c r="A360" s="52"/>
      <c r="B360" s="60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4"/>
      <c r="R360" s="52"/>
      <c r="S360" s="52"/>
      <c r="T360" s="52"/>
      <c r="U360" s="52"/>
      <c r="V360" s="52"/>
      <c r="W360" s="52"/>
      <c r="X360" s="52"/>
    </row>
    <row r="361">
      <c r="A361" s="52"/>
      <c r="B361" s="60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4"/>
      <c r="R361" s="52"/>
      <c r="S361" s="52"/>
      <c r="T361" s="52"/>
      <c r="U361" s="52"/>
      <c r="V361" s="52"/>
      <c r="W361" s="52"/>
      <c r="X361" s="52"/>
    </row>
    <row r="362">
      <c r="A362" s="52"/>
      <c r="B362" s="60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4"/>
      <c r="R362" s="52"/>
      <c r="S362" s="52"/>
      <c r="T362" s="52"/>
      <c r="U362" s="52"/>
      <c r="V362" s="52"/>
      <c r="W362" s="52"/>
      <c r="X362" s="52"/>
    </row>
    <row r="363">
      <c r="A363" s="52"/>
      <c r="B363" s="60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4"/>
      <c r="R363" s="52"/>
      <c r="S363" s="52"/>
      <c r="T363" s="52"/>
      <c r="U363" s="52"/>
      <c r="V363" s="52"/>
      <c r="W363" s="52"/>
      <c r="X363" s="52"/>
    </row>
    <row r="364">
      <c r="A364" s="52"/>
      <c r="B364" s="60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4"/>
      <c r="R364" s="52"/>
      <c r="S364" s="52"/>
      <c r="T364" s="52"/>
      <c r="U364" s="52"/>
      <c r="V364" s="52"/>
      <c r="W364" s="52"/>
      <c r="X364" s="52"/>
    </row>
    <row r="365">
      <c r="A365" s="52"/>
      <c r="B365" s="60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4"/>
      <c r="R365" s="52"/>
      <c r="S365" s="52"/>
      <c r="T365" s="52"/>
      <c r="U365" s="52"/>
      <c r="V365" s="52"/>
      <c r="W365" s="52"/>
      <c r="X365" s="52"/>
    </row>
    <row r="366">
      <c r="A366" s="52"/>
      <c r="B366" s="60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4"/>
      <c r="R366" s="52"/>
      <c r="S366" s="52"/>
      <c r="T366" s="52"/>
      <c r="U366" s="52"/>
      <c r="V366" s="52"/>
      <c r="W366" s="52"/>
      <c r="X366" s="52"/>
    </row>
    <row r="367">
      <c r="A367" s="52"/>
      <c r="B367" s="60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4"/>
      <c r="R367" s="52"/>
      <c r="S367" s="52"/>
      <c r="T367" s="52"/>
      <c r="U367" s="52"/>
      <c r="V367" s="52"/>
      <c r="W367" s="52"/>
      <c r="X367" s="52"/>
    </row>
    <row r="368">
      <c r="A368" s="52"/>
      <c r="B368" s="60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4"/>
      <c r="R368" s="52"/>
      <c r="S368" s="52"/>
      <c r="T368" s="52"/>
      <c r="U368" s="52"/>
      <c r="V368" s="52"/>
      <c r="W368" s="52"/>
      <c r="X368" s="52"/>
    </row>
    <row r="369">
      <c r="A369" s="52"/>
      <c r="B369" s="60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4"/>
      <c r="R369" s="52"/>
      <c r="S369" s="52"/>
      <c r="T369" s="52"/>
      <c r="U369" s="52"/>
      <c r="V369" s="52"/>
      <c r="W369" s="52"/>
      <c r="X369" s="52"/>
    </row>
    <row r="370">
      <c r="A370" s="52"/>
      <c r="B370" s="60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4"/>
      <c r="R370" s="52"/>
      <c r="S370" s="52"/>
      <c r="T370" s="52"/>
      <c r="U370" s="52"/>
      <c r="V370" s="52"/>
      <c r="W370" s="52"/>
      <c r="X370" s="52"/>
    </row>
    <row r="371">
      <c r="A371" s="52"/>
      <c r="B371" s="60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4"/>
      <c r="R371" s="52"/>
      <c r="S371" s="52"/>
      <c r="T371" s="52"/>
      <c r="U371" s="52"/>
      <c r="V371" s="52"/>
      <c r="W371" s="52"/>
      <c r="X371" s="52"/>
    </row>
    <row r="372">
      <c r="A372" s="52"/>
      <c r="B372" s="60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4"/>
      <c r="R372" s="52"/>
      <c r="S372" s="52"/>
      <c r="T372" s="52"/>
      <c r="U372" s="52"/>
      <c r="V372" s="52"/>
      <c r="W372" s="52"/>
      <c r="X372" s="52"/>
    </row>
    <row r="373">
      <c r="A373" s="52"/>
      <c r="B373" s="60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4"/>
      <c r="R373" s="52"/>
      <c r="S373" s="52"/>
      <c r="T373" s="52"/>
      <c r="U373" s="52"/>
      <c r="V373" s="52"/>
      <c r="W373" s="52"/>
      <c r="X373" s="52"/>
    </row>
    <row r="374">
      <c r="A374" s="52"/>
      <c r="B374" s="60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4"/>
      <c r="R374" s="52"/>
      <c r="S374" s="52"/>
      <c r="T374" s="52"/>
      <c r="U374" s="52"/>
      <c r="V374" s="52"/>
      <c r="W374" s="52"/>
      <c r="X374" s="52"/>
    </row>
    <row r="375">
      <c r="A375" s="52"/>
      <c r="B375" s="60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4"/>
      <c r="R375" s="52"/>
      <c r="S375" s="52"/>
      <c r="T375" s="52"/>
      <c r="U375" s="52"/>
      <c r="V375" s="52"/>
      <c r="W375" s="52"/>
      <c r="X375" s="52"/>
    </row>
    <row r="376">
      <c r="A376" s="52"/>
      <c r="B376" s="60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4"/>
      <c r="R376" s="52"/>
      <c r="S376" s="52"/>
      <c r="T376" s="52"/>
      <c r="U376" s="52"/>
      <c r="V376" s="52"/>
      <c r="W376" s="52"/>
      <c r="X376" s="52"/>
    </row>
    <row r="377">
      <c r="A377" s="52"/>
      <c r="B377" s="60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4"/>
      <c r="R377" s="52"/>
      <c r="S377" s="52"/>
      <c r="T377" s="52"/>
      <c r="U377" s="52"/>
      <c r="V377" s="52"/>
      <c r="W377" s="52"/>
      <c r="X377" s="52"/>
    </row>
    <row r="378">
      <c r="A378" s="52"/>
      <c r="B378" s="60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4"/>
      <c r="R378" s="52"/>
      <c r="S378" s="52"/>
      <c r="T378" s="52"/>
      <c r="U378" s="52"/>
      <c r="V378" s="52"/>
      <c r="W378" s="52"/>
      <c r="X378" s="52"/>
    </row>
    <row r="379">
      <c r="A379" s="52"/>
      <c r="B379" s="60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4"/>
      <c r="R379" s="52"/>
      <c r="S379" s="52"/>
      <c r="T379" s="52"/>
      <c r="U379" s="52"/>
      <c r="V379" s="52"/>
      <c r="W379" s="52"/>
      <c r="X379" s="52"/>
    </row>
    <row r="380">
      <c r="A380" s="52"/>
      <c r="B380" s="60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4"/>
      <c r="R380" s="52"/>
      <c r="S380" s="52"/>
      <c r="T380" s="52"/>
      <c r="U380" s="52"/>
      <c r="V380" s="52"/>
      <c r="W380" s="52"/>
      <c r="X380" s="52"/>
    </row>
    <row r="381">
      <c r="A381" s="52"/>
      <c r="B381" s="60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4"/>
      <c r="R381" s="52"/>
      <c r="S381" s="52"/>
      <c r="T381" s="52"/>
      <c r="U381" s="52"/>
      <c r="V381" s="52"/>
      <c r="W381" s="52"/>
      <c r="X381" s="52"/>
    </row>
    <row r="382">
      <c r="A382" s="52"/>
      <c r="B382" s="60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4"/>
      <c r="R382" s="52"/>
      <c r="S382" s="52"/>
      <c r="T382" s="52"/>
      <c r="U382" s="52"/>
      <c r="V382" s="52"/>
      <c r="W382" s="52"/>
      <c r="X382" s="52"/>
    </row>
    <row r="383">
      <c r="A383" s="52"/>
      <c r="B383" s="60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4"/>
      <c r="R383" s="52"/>
      <c r="S383" s="52"/>
      <c r="T383" s="52"/>
      <c r="U383" s="52"/>
      <c r="V383" s="52"/>
      <c r="W383" s="52"/>
      <c r="X383" s="52"/>
    </row>
    <row r="384">
      <c r="A384" s="52"/>
      <c r="B384" s="60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4"/>
      <c r="R384" s="52"/>
      <c r="S384" s="52"/>
      <c r="T384" s="52"/>
      <c r="U384" s="52"/>
      <c r="V384" s="52"/>
      <c r="W384" s="52"/>
      <c r="X384" s="52"/>
    </row>
    <row r="385">
      <c r="A385" s="52"/>
      <c r="B385" s="60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4"/>
      <c r="R385" s="52"/>
      <c r="S385" s="52"/>
      <c r="T385" s="52"/>
      <c r="U385" s="52"/>
      <c r="V385" s="52"/>
      <c r="W385" s="52"/>
      <c r="X385" s="52"/>
    </row>
    <row r="386">
      <c r="A386" s="52"/>
      <c r="B386" s="60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4"/>
      <c r="R386" s="52"/>
      <c r="S386" s="52"/>
      <c r="T386" s="52"/>
      <c r="U386" s="52"/>
      <c r="V386" s="52"/>
      <c r="W386" s="52"/>
      <c r="X386" s="52"/>
    </row>
    <row r="387">
      <c r="A387" s="52"/>
      <c r="B387" s="60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4"/>
      <c r="R387" s="52"/>
      <c r="S387" s="52"/>
      <c r="T387" s="52"/>
      <c r="U387" s="52"/>
      <c r="V387" s="52"/>
      <c r="W387" s="52"/>
      <c r="X387" s="52"/>
    </row>
    <row r="388">
      <c r="A388" s="52"/>
      <c r="B388" s="60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4"/>
      <c r="R388" s="52"/>
      <c r="S388" s="52"/>
      <c r="T388" s="52"/>
      <c r="U388" s="52"/>
      <c r="V388" s="52"/>
      <c r="W388" s="52"/>
      <c r="X388" s="52"/>
    </row>
    <row r="389">
      <c r="A389" s="52"/>
      <c r="B389" s="60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4"/>
      <c r="R389" s="52"/>
      <c r="S389" s="52"/>
      <c r="T389" s="52"/>
      <c r="U389" s="52"/>
      <c r="V389" s="52"/>
      <c r="W389" s="52"/>
      <c r="X389" s="52"/>
    </row>
    <row r="390">
      <c r="A390" s="52"/>
      <c r="B390" s="60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4"/>
      <c r="R390" s="52"/>
      <c r="S390" s="52"/>
      <c r="T390" s="52"/>
      <c r="U390" s="52"/>
      <c r="V390" s="52"/>
      <c r="W390" s="52"/>
      <c r="X390" s="52"/>
    </row>
    <row r="391">
      <c r="A391" s="52"/>
      <c r="B391" s="60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4"/>
      <c r="R391" s="52"/>
      <c r="S391" s="52"/>
      <c r="T391" s="52"/>
      <c r="U391" s="52"/>
      <c r="V391" s="52"/>
      <c r="W391" s="52"/>
      <c r="X391" s="52"/>
    </row>
    <row r="392">
      <c r="A392" s="52"/>
      <c r="B392" s="60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4"/>
      <c r="R392" s="52"/>
      <c r="S392" s="52"/>
      <c r="T392" s="52"/>
      <c r="U392" s="52"/>
      <c r="V392" s="52"/>
      <c r="W392" s="52"/>
      <c r="X392" s="52"/>
    </row>
    <row r="393">
      <c r="A393" s="52"/>
      <c r="B393" s="60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4"/>
      <c r="R393" s="52"/>
      <c r="S393" s="52"/>
      <c r="T393" s="52"/>
      <c r="U393" s="52"/>
      <c r="V393" s="52"/>
      <c r="W393" s="52"/>
      <c r="X393" s="52"/>
    </row>
    <row r="394">
      <c r="A394" s="52"/>
      <c r="B394" s="60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4"/>
      <c r="R394" s="52"/>
      <c r="S394" s="52"/>
      <c r="T394" s="52"/>
      <c r="U394" s="52"/>
      <c r="V394" s="52"/>
      <c r="W394" s="52"/>
      <c r="X394" s="52"/>
    </row>
    <row r="395">
      <c r="A395" s="52"/>
      <c r="B395" s="60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4"/>
      <c r="R395" s="52"/>
      <c r="S395" s="52"/>
      <c r="T395" s="52"/>
      <c r="U395" s="52"/>
      <c r="V395" s="52"/>
      <c r="W395" s="52"/>
      <c r="X395" s="52"/>
    </row>
    <row r="396">
      <c r="A396" s="52"/>
      <c r="B396" s="60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4"/>
      <c r="R396" s="52"/>
      <c r="S396" s="52"/>
      <c r="T396" s="52"/>
      <c r="U396" s="52"/>
      <c r="V396" s="52"/>
      <c r="W396" s="52"/>
      <c r="X396" s="52"/>
    </row>
    <row r="397">
      <c r="A397" s="52"/>
      <c r="B397" s="60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4"/>
      <c r="R397" s="52"/>
      <c r="S397" s="52"/>
      <c r="T397" s="52"/>
      <c r="U397" s="52"/>
      <c r="V397" s="52"/>
      <c r="W397" s="52"/>
      <c r="X397" s="52"/>
    </row>
    <row r="398">
      <c r="A398" s="52"/>
      <c r="B398" s="60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4"/>
      <c r="R398" s="52"/>
      <c r="S398" s="52"/>
      <c r="T398" s="52"/>
      <c r="U398" s="52"/>
      <c r="V398" s="52"/>
      <c r="W398" s="52"/>
      <c r="X398" s="52"/>
    </row>
    <row r="399">
      <c r="A399" s="52"/>
      <c r="B399" s="60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4"/>
      <c r="R399" s="52"/>
      <c r="S399" s="52"/>
      <c r="T399" s="52"/>
      <c r="U399" s="52"/>
      <c r="V399" s="52"/>
      <c r="W399" s="52"/>
      <c r="X399" s="52"/>
    </row>
    <row r="400">
      <c r="A400" s="52"/>
      <c r="B400" s="60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4"/>
      <c r="R400" s="52"/>
      <c r="S400" s="52"/>
      <c r="T400" s="52"/>
      <c r="U400" s="52"/>
      <c r="V400" s="52"/>
      <c r="W400" s="52"/>
      <c r="X400" s="52"/>
    </row>
    <row r="401">
      <c r="A401" s="52"/>
      <c r="B401" s="60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4"/>
      <c r="R401" s="52"/>
      <c r="S401" s="52"/>
      <c r="T401" s="52"/>
      <c r="U401" s="52"/>
      <c r="V401" s="52"/>
      <c r="W401" s="52"/>
      <c r="X401" s="52"/>
    </row>
    <row r="402">
      <c r="A402" s="52"/>
      <c r="B402" s="60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4"/>
      <c r="R402" s="52"/>
      <c r="S402" s="52"/>
      <c r="T402" s="52"/>
      <c r="U402" s="52"/>
      <c r="V402" s="52"/>
      <c r="W402" s="52"/>
      <c r="X402" s="52"/>
    </row>
    <row r="403">
      <c r="A403" s="52"/>
      <c r="B403" s="60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4"/>
      <c r="R403" s="52"/>
      <c r="S403" s="52"/>
      <c r="T403" s="52"/>
      <c r="U403" s="52"/>
      <c r="V403" s="52"/>
      <c r="W403" s="52"/>
      <c r="X403" s="52"/>
    </row>
    <row r="404">
      <c r="A404" s="52"/>
      <c r="B404" s="60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4"/>
      <c r="R404" s="52"/>
      <c r="S404" s="52"/>
      <c r="T404" s="52"/>
      <c r="U404" s="52"/>
      <c r="V404" s="52"/>
      <c r="W404" s="52"/>
      <c r="X404" s="52"/>
    </row>
    <row r="405">
      <c r="A405" s="52"/>
      <c r="B405" s="60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4"/>
      <c r="R405" s="52"/>
      <c r="S405" s="52"/>
      <c r="T405" s="52"/>
      <c r="U405" s="52"/>
      <c r="V405" s="52"/>
      <c r="W405" s="52"/>
      <c r="X405" s="52"/>
    </row>
    <row r="406">
      <c r="A406" s="52"/>
      <c r="B406" s="60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4"/>
      <c r="R406" s="52"/>
      <c r="S406" s="52"/>
      <c r="T406" s="52"/>
      <c r="U406" s="52"/>
      <c r="V406" s="52"/>
      <c r="W406" s="52"/>
      <c r="X406" s="52"/>
    </row>
    <row r="407">
      <c r="A407" s="52"/>
      <c r="B407" s="60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4"/>
      <c r="R407" s="52"/>
      <c r="S407" s="52"/>
      <c r="T407" s="52"/>
      <c r="U407" s="52"/>
      <c r="V407" s="52"/>
      <c r="W407" s="52"/>
      <c r="X407" s="52"/>
    </row>
    <row r="408">
      <c r="A408" s="52"/>
      <c r="B408" s="60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4"/>
      <c r="R408" s="52"/>
      <c r="S408" s="52"/>
      <c r="T408" s="52"/>
      <c r="U408" s="52"/>
      <c r="V408" s="52"/>
      <c r="W408" s="52"/>
      <c r="X408" s="52"/>
    </row>
    <row r="409">
      <c r="A409" s="52"/>
      <c r="B409" s="60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4"/>
      <c r="R409" s="52"/>
      <c r="S409" s="52"/>
      <c r="T409" s="52"/>
      <c r="U409" s="52"/>
      <c r="V409" s="52"/>
      <c r="W409" s="52"/>
      <c r="X409" s="52"/>
    </row>
    <row r="410">
      <c r="A410" s="52"/>
      <c r="B410" s="60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4"/>
      <c r="R410" s="52"/>
      <c r="S410" s="52"/>
      <c r="T410" s="52"/>
      <c r="U410" s="52"/>
      <c r="V410" s="52"/>
      <c r="W410" s="52"/>
      <c r="X410" s="52"/>
    </row>
    <row r="411">
      <c r="A411" s="52"/>
      <c r="B411" s="60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4"/>
      <c r="R411" s="52"/>
      <c r="S411" s="52"/>
      <c r="T411" s="52"/>
      <c r="U411" s="52"/>
      <c r="V411" s="52"/>
      <c r="W411" s="52"/>
      <c r="X411" s="52"/>
    </row>
    <row r="412">
      <c r="A412" s="52"/>
      <c r="B412" s="60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4"/>
      <c r="R412" s="52"/>
      <c r="S412" s="52"/>
      <c r="T412" s="52"/>
      <c r="U412" s="52"/>
      <c r="V412" s="52"/>
      <c r="W412" s="52"/>
      <c r="X412" s="52"/>
    </row>
    <row r="413">
      <c r="A413" s="52"/>
      <c r="B413" s="60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4"/>
      <c r="R413" s="52"/>
      <c r="S413" s="52"/>
      <c r="T413" s="52"/>
      <c r="U413" s="52"/>
      <c r="V413" s="52"/>
      <c r="W413" s="52"/>
      <c r="X413" s="52"/>
    </row>
    <row r="414">
      <c r="A414" s="52"/>
      <c r="B414" s="60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4"/>
      <c r="R414" s="52"/>
      <c r="S414" s="52"/>
      <c r="T414" s="52"/>
      <c r="U414" s="52"/>
      <c r="V414" s="52"/>
      <c r="W414" s="52"/>
      <c r="X414" s="52"/>
    </row>
    <row r="415">
      <c r="A415" s="52"/>
      <c r="B415" s="60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4"/>
      <c r="R415" s="52"/>
      <c r="S415" s="52"/>
      <c r="T415" s="52"/>
      <c r="U415" s="52"/>
      <c r="V415" s="52"/>
      <c r="W415" s="52"/>
      <c r="X415" s="52"/>
    </row>
    <row r="416">
      <c r="A416" s="52"/>
      <c r="B416" s="60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4"/>
      <c r="R416" s="52"/>
      <c r="S416" s="52"/>
      <c r="T416" s="52"/>
      <c r="U416" s="52"/>
      <c r="V416" s="52"/>
      <c r="W416" s="52"/>
      <c r="X416" s="52"/>
    </row>
    <row r="417">
      <c r="A417" s="52"/>
      <c r="B417" s="60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4"/>
      <c r="R417" s="52"/>
      <c r="S417" s="52"/>
      <c r="T417" s="52"/>
      <c r="U417" s="52"/>
      <c r="V417" s="52"/>
      <c r="W417" s="52"/>
      <c r="X417" s="52"/>
    </row>
    <row r="418">
      <c r="A418" s="52"/>
      <c r="B418" s="60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4"/>
      <c r="R418" s="52"/>
      <c r="S418" s="52"/>
      <c r="T418" s="52"/>
      <c r="U418" s="52"/>
      <c r="V418" s="52"/>
      <c r="W418" s="52"/>
      <c r="X418" s="52"/>
    </row>
    <row r="419">
      <c r="A419" s="52"/>
      <c r="B419" s="60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4"/>
      <c r="R419" s="52"/>
      <c r="S419" s="52"/>
      <c r="T419" s="52"/>
      <c r="U419" s="52"/>
      <c r="V419" s="52"/>
      <c r="W419" s="52"/>
      <c r="X419" s="52"/>
    </row>
    <row r="420">
      <c r="A420" s="52"/>
      <c r="B420" s="60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4"/>
      <c r="R420" s="52"/>
      <c r="S420" s="52"/>
      <c r="T420" s="52"/>
      <c r="U420" s="52"/>
      <c r="V420" s="52"/>
      <c r="W420" s="52"/>
      <c r="X420" s="52"/>
    </row>
    <row r="421">
      <c r="A421" s="52"/>
      <c r="B421" s="60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4"/>
      <c r="R421" s="52"/>
      <c r="S421" s="52"/>
      <c r="T421" s="52"/>
      <c r="U421" s="52"/>
      <c r="V421" s="52"/>
      <c r="W421" s="52"/>
      <c r="X421" s="52"/>
    </row>
    <row r="422">
      <c r="A422" s="52"/>
      <c r="B422" s="60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4"/>
      <c r="R422" s="52"/>
      <c r="S422" s="52"/>
      <c r="T422" s="52"/>
      <c r="U422" s="52"/>
      <c r="V422" s="52"/>
      <c r="W422" s="52"/>
      <c r="X422" s="52"/>
    </row>
    <row r="423">
      <c r="A423" s="52"/>
      <c r="B423" s="60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4"/>
      <c r="R423" s="52"/>
      <c r="S423" s="52"/>
      <c r="T423" s="52"/>
      <c r="U423" s="52"/>
      <c r="V423" s="52"/>
      <c r="W423" s="52"/>
      <c r="X423" s="52"/>
    </row>
    <row r="424">
      <c r="A424" s="52"/>
      <c r="B424" s="60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4"/>
      <c r="R424" s="52"/>
      <c r="S424" s="52"/>
      <c r="T424" s="52"/>
      <c r="U424" s="52"/>
      <c r="V424" s="52"/>
      <c r="W424" s="52"/>
      <c r="X424" s="52"/>
    </row>
    <row r="425">
      <c r="A425" s="52"/>
      <c r="B425" s="60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4"/>
      <c r="R425" s="52"/>
      <c r="S425" s="52"/>
      <c r="T425" s="52"/>
      <c r="U425" s="52"/>
      <c r="V425" s="52"/>
      <c r="W425" s="52"/>
      <c r="X425" s="52"/>
    </row>
    <row r="426">
      <c r="A426" s="52"/>
      <c r="B426" s="60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4"/>
      <c r="R426" s="52"/>
      <c r="S426" s="52"/>
      <c r="T426" s="52"/>
      <c r="U426" s="52"/>
      <c r="V426" s="52"/>
      <c r="W426" s="52"/>
      <c r="X426" s="52"/>
    </row>
    <row r="427">
      <c r="A427" s="52"/>
      <c r="B427" s="60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4"/>
      <c r="R427" s="52"/>
      <c r="S427" s="52"/>
      <c r="T427" s="52"/>
      <c r="U427" s="52"/>
      <c r="V427" s="52"/>
      <c r="W427" s="52"/>
      <c r="X427" s="52"/>
    </row>
    <row r="428">
      <c r="A428" s="52"/>
      <c r="B428" s="60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4"/>
      <c r="R428" s="52"/>
      <c r="S428" s="52"/>
      <c r="T428" s="52"/>
      <c r="U428" s="52"/>
      <c r="V428" s="52"/>
      <c r="W428" s="52"/>
      <c r="X428" s="52"/>
    </row>
    <row r="429">
      <c r="A429" s="52"/>
      <c r="B429" s="60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4"/>
      <c r="R429" s="52"/>
      <c r="S429" s="52"/>
      <c r="T429" s="52"/>
      <c r="U429" s="52"/>
      <c r="V429" s="52"/>
      <c r="W429" s="52"/>
      <c r="X429" s="52"/>
    </row>
    <row r="430">
      <c r="A430" s="52"/>
      <c r="B430" s="60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4"/>
      <c r="R430" s="52"/>
      <c r="S430" s="52"/>
      <c r="T430" s="52"/>
      <c r="U430" s="52"/>
      <c r="V430" s="52"/>
      <c r="W430" s="52"/>
      <c r="X430" s="52"/>
    </row>
    <row r="431">
      <c r="A431" s="52"/>
      <c r="B431" s="60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4"/>
      <c r="R431" s="52"/>
      <c r="S431" s="52"/>
      <c r="T431" s="52"/>
      <c r="U431" s="52"/>
      <c r="V431" s="52"/>
      <c r="W431" s="52"/>
      <c r="X431" s="52"/>
    </row>
    <row r="432">
      <c r="A432" s="52"/>
      <c r="B432" s="60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4"/>
      <c r="R432" s="52"/>
      <c r="S432" s="52"/>
      <c r="T432" s="52"/>
      <c r="U432" s="52"/>
      <c r="V432" s="52"/>
      <c r="W432" s="52"/>
      <c r="X432" s="52"/>
    </row>
    <row r="433">
      <c r="A433" s="52"/>
      <c r="B433" s="60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4"/>
      <c r="R433" s="52"/>
      <c r="S433" s="52"/>
      <c r="T433" s="52"/>
      <c r="U433" s="52"/>
      <c r="V433" s="52"/>
      <c r="W433" s="52"/>
      <c r="X433" s="52"/>
    </row>
    <row r="434">
      <c r="A434" s="52"/>
      <c r="B434" s="60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4"/>
      <c r="R434" s="52"/>
      <c r="S434" s="52"/>
      <c r="T434" s="52"/>
      <c r="U434" s="52"/>
      <c r="V434" s="52"/>
      <c r="W434" s="52"/>
      <c r="X434" s="52"/>
    </row>
    <row r="435">
      <c r="A435" s="52"/>
      <c r="B435" s="60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4"/>
      <c r="R435" s="52"/>
      <c r="S435" s="52"/>
      <c r="T435" s="52"/>
      <c r="U435" s="52"/>
      <c r="V435" s="52"/>
      <c r="W435" s="52"/>
      <c r="X435" s="52"/>
    </row>
    <row r="436">
      <c r="A436" s="52"/>
      <c r="B436" s="60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4"/>
      <c r="R436" s="52"/>
      <c r="S436" s="52"/>
      <c r="T436" s="52"/>
      <c r="U436" s="52"/>
      <c r="V436" s="52"/>
      <c r="W436" s="52"/>
      <c r="X436" s="52"/>
    </row>
    <row r="437">
      <c r="A437" s="52"/>
      <c r="B437" s="60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4"/>
      <c r="R437" s="52"/>
      <c r="S437" s="52"/>
      <c r="T437" s="52"/>
      <c r="U437" s="52"/>
      <c r="V437" s="52"/>
      <c r="W437" s="52"/>
      <c r="X437" s="52"/>
    </row>
    <row r="438">
      <c r="A438" s="52"/>
      <c r="B438" s="60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4"/>
      <c r="R438" s="52"/>
      <c r="S438" s="52"/>
      <c r="T438" s="52"/>
      <c r="U438" s="52"/>
      <c r="V438" s="52"/>
      <c r="W438" s="52"/>
      <c r="X438" s="52"/>
    </row>
    <row r="439">
      <c r="A439" s="52"/>
      <c r="B439" s="60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4"/>
      <c r="R439" s="52"/>
      <c r="S439" s="52"/>
      <c r="T439" s="52"/>
      <c r="U439" s="52"/>
      <c r="V439" s="52"/>
      <c r="W439" s="52"/>
      <c r="X439" s="52"/>
    </row>
    <row r="440">
      <c r="A440" s="52"/>
      <c r="B440" s="60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4"/>
      <c r="R440" s="52"/>
      <c r="S440" s="52"/>
      <c r="T440" s="52"/>
      <c r="U440" s="52"/>
      <c r="V440" s="52"/>
      <c r="W440" s="52"/>
      <c r="X440" s="52"/>
    </row>
    <row r="441">
      <c r="A441" s="52"/>
      <c r="B441" s="60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4"/>
      <c r="R441" s="52"/>
      <c r="S441" s="52"/>
      <c r="T441" s="52"/>
      <c r="U441" s="52"/>
      <c r="V441" s="52"/>
      <c r="W441" s="52"/>
      <c r="X441" s="52"/>
    </row>
    <row r="442">
      <c r="A442" s="52"/>
      <c r="B442" s="60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4"/>
      <c r="R442" s="52"/>
      <c r="S442" s="52"/>
      <c r="T442" s="52"/>
      <c r="U442" s="52"/>
      <c r="V442" s="52"/>
      <c r="W442" s="52"/>
      <c r="X442" s="52"/>
    </row>
    <row r="443">
      <c r="A443" s="52"/>
      <c r="B443" s="60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4"/>
      <c r="R443" s="52"/>
      <c r="S443" s="52"/>
      <c r="T443" s="52"/>
      <c r="U443" s="52"/>
      <c r="V443" s="52"/>
      <c r="W443" s="52"/>
      <c r="X443" s="52"/>
    </row>
    <row r="444">
      <c r="A444" s="52"/>
      <c r="B444" s="60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4"/>
      <c r="R444" s="52"/>
      <c r="S444" s="52"/>
      <c r="T444" s="52"/>
      <c r="U444" s="52"/>
      <c r="V444" s="52"/>
      <c r="W444" s="52"/>
      <c r="X444" s="52"/>
    </row>
    <row r="445">
      <c r="A445" s="52"/>
      <c r="B445" s="60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4"/>
      <c r="R445" s="52"/>
      <c r="S445" s="52"/>
      <c r="T445" s="52"/>
      <c r="U445" s="52"/>
      <c r="V445" s="52"/>
      <c r="W445" s="52"/>
      <c r="X445" s="52"/>
    </row>
    <row r="446">
      <c r="A446" s="52"/>
      <c r="B446" s="60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4"/>
      <c r="R446" s="52"/>
      <c r="S446" s="52"/>
      <c r="T446" s="52"/>
      <c r="U446" s="52"/>
      <c r="V446" s="52"/>
      <c r="W446" s="52"/>
      <c r="X446" s="52"/>
    </row>
    <row r="447">
      <c r="A447" s="52"/>
      <c r="B447" s="60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4"/>
      <c r="R447" s="52"/>
      <c r="S447" s="52"/>
      <c r="T447" s="52"/>
      <c r="U447" s="52"/>
      <c r="V447" s="52"/>
      <c r="W447" s="52"/>
      <c r="X447" s="52"/>
    </row>
    <row r="448">
      <c r="A448" s="52"/>
      <c r="B448" s="60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4"/>
      <c r="R448" s="52"/>
      <c r="S448" s="52"/>
      <c r="T448" s="52"/>
      <c r="U448" s="52"/>
      <c r="V448" s="52"/>
      <c r="W448" s="52"/>
      <c r="X448" s="52"/>
    </row>
    <row r="449">
      <c r="A449" s="52"/>
      <c r="B449" s="60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4"/>
      <c r="R449" s="52"/>
      <c r="S449" s="52"/>
      <c r="T449" s="52"/>
      <c r="U449" s="52"/>
      <c r="V449" s="52"/>
      <c r="W449" s="52"/>
      <c r="X449" s="52"/>
    </row>
    <row r="450">
      <c r="A450" s="52"/>
      <c r="B450" s="60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4"/>
      <c r="R450" s="52"/>
      <c r="S450" s="52"/>
      <c r="T450" s="52"/>
      <c r="U450" s="52"/>
      <c r="V450" s="52"/>
      <c r="W450" s="52"/>
      <c r="X450" s="52"/>
    </row>
    <row r="451">
      <c r="A451" s="52"/>
      <c r="B451" s="60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4"/>
      <c r="R451" s="52"/>
      <c r="S451" s="52"/>
      <c r="T451" s="52"/>
      <c r="U451" s="52"/>
      <c r="V451" s="52"/>
      <c r="W451" s="52"/>
      <c r="X451" s="52"/>
    </row>
    <row r="452">
      <c r="A452" s="52"/>
      <c r="B452" s="60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4"/>
      <c r="R452" s="52"/>
      <c r="S452" s="52"/>
      <c r="T452" s="52"/>
      <c r="U452" s="52"/>
      <c r="V452" s="52"/>
      <c r="W452" s="52"/>
      <c r="X452" s="52"/>
    </row>
    <row r="453">
      <c r="A453" s="52"/>
      <c r="B453" s="60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4"/>
      <c r="R453" s="52"/>
      <c r="S453" s="52"/>
      <c r="T453" s="52"/>
      <c r="U453" s="52"/>
      <c r="V453" s="52"/>
      <c r="W453" s="52"/>
      <c r="X453" s="52"/>
    </row>
    <row r="454">
      <c r="A454" s="52"/>
      <c r="B454" s="60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4"/>
      <c r="R454" s="52"/>
      <c r="S454" s="52"/>
      <c r="T454" s="52"/>
      <c r="U454" s="52"/>
      <c r="V454" s="52"/>
      <c r="W454" s="52"/>
      <c r="X454" s="52"/>
    </row>
    <row r="455">
      <c r="A455" s="52"/>
      <c r="B455" s="60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4"/>
      <c r="R455" s="52"/>
      <c r="S455" s="52"/>
      <c r="T455" s="52"/>
      <c r="U455" s="52"/>
      <c r="V455" s="52"/>
      <c r="W455" s="52"/>
      <c r="X455" s="52"/>
    </row>
    <row r="456">
      <c r="A456" s="52"/>
      <c r="B456" s="60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4"/>
      <c r="R456" s="52"/>
      <c r="S456" s="52"/>
      <c r="T456" s="52"/>
      <c r="U456" s="52"/>
      <c r="V456" s="52"/>
      <c r="W456" s="52"/>
      <c r="X456" s="52"/>
    </row>
    <row r="457">
      <c r="A457" s="52"/>
      <c r="B457" s="60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4"/>
      <c r="R457" s="52"/>
      <c r="S457" s="52"/>
      <c r="T457" s="52"/>
      <c r="U457" s="52"/>
      <c r="V457" s="52"/>
      <c r="W457" s="52"/>
      <c r="X457" s="52"/>
    </row>
    <row r="458">
      <c r="A458" s="52"/>
      <c r="B458" s="60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4"/>
      <c r="R458" s="52"/>
      <c r="S458" s="52"/>
      <c r="T458" s="52"/>
      <c r="U458" s="52"/>
      <c r="V458" s="52"/>
      <c r="W458" s="52"/>
      <c r="X458" s="52"/>
    </row>
    <row r="459">
      <c r="A459" s="52"/>
      <c r="B459" s="60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4"/>
      <c r="R459" s="52"/>
      <c r="S459" s="52"/>
      <c r="T459" s="52"/>
      <c r="U459" s="52"/>
      <c r="V459" s="52"/>
      <c r="W459" s="52"/>
      <c r="X459" s="52"/>
    </row>
    <row r="460">
      <c r="A460" s="52"/>
      <c r="B460" s="60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4"/>
      <c r="R460" s="52"/>
      <c r="S460" s="52"/>
      <c r="T460" s="52"/>
      <c r="U460" s="52"/>
      <c r="V460" s="52"/>
      <c r="W460" s="52"/>
      <c r="X460" s="52"/>
    </row>
    <row r="461">
      <c r="A461" s="52"/>
      <c r="B461" s="60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4"/>
      <c r="R461" s="52"/>
      <c r="S461" s="52"/>
      <c r="T461" s="52"/>
      <c r="U461" s="52"/>
      <c r="V461" s="52"/>
      <c r="W461" s="52"/>
      <c r="X461" s="52"/>
    </row>
    <row r="462">
      <c r="A462" s="52"/>
      <c r="B462" s="60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4"/>
      <c r="R462" s="52"/>
      <c r="S462" s="52"/>
      <c r="T462" s="52"/>
      <c r="U462" s="52"/>
      <c r="V462" s="52"/>
      <c r="W462" s="52"/>
      <c r="X462" s="52"/>
    </row>
    <row r="463">
      <c r="A463" s="52"/>
      <c r="B463" s="60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4"/>
      <c r="R463" s="52"/>
      <c r="S463" s="52"/>
      <c r="T463" s="52"/>
      <c r="U463" s="52"/>
      <c r="V463" s="52"/>
      <c r="W463" s="52"/>
      <c r="X463" s="52"/>
    </row>
    <row r="464">
      <c r="A464" s="52"/>
      <c r="B464" s="60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4"/>
      <c r="R464" s="52"/>
      <c r="S464" s="52"/>
      <c r="T464" s="52"/>
      <c r="U464" s="52"/>
      <c r="V464" s="52"/>
      <c r="W464" s="52"/>
      <c r="X464" s="52"/>
    </row>
    <row r="465">
      <c r="A465" s="52"/>
      <c r="B465" s="60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4"/>
      <c r="R465" s="52"/>
      <c r="S465" s="52"/>
      <c r="T465" s="52"/>
      <c r="U465" s="52"/>
      <c r="V465" s="52"/>
      <c r="W465" s="52"/>
      <c r="X465" s="52"/>
    </row>
    <row r="466">
      <c r="A466" s="52"/>
      <c r="B466" s="60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4"/>
      <c r="R466" s="52"/>
      <c r="S466" s="52"/>
      <c r="T466" s="52"/>
      <c r="U466" s="52"/>
      <c r="V466" s="52"/>
      <c r="W466" s="52"/>
      <c r="X466" s="52"/>
    </row>
    <row r="467">
      <c r="A467" s="52"/>
      <c r="B467" s="60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4"/>
      <c r="R467" s="52"/>
      <c r="S467" s="52"/>
      <c r="T467" s="52"/>
      <c r="U467" s="52"/>
      <c r="V467" s="52"/>
      <c r="W467" s="52"/>
      <c r="X467" s="52"/>
    </row>
    <row r="468">
      <c r="A468" s="52"/>
      <c r="B468" s="60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4"/>
      <c r="R468" s="52"/>
      <c r="S468" s="52"/>
      <c r="T468" s="52"/>
      <c r="U468" s="52"/>
      <c r="V468" s="52"/>
      <c r="W468" s="52"/>
      <c r="X468" s="52"/>
    </row>
    <row r="469">
      <c r="A469" s="52"/>
      <c r="B469" s="60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4"/>
      <c r="R469" s="52"/>
      <c r="S469" s="52"/>
      <c r="T469" s="52"/>
      <c r="U469" s="52"/>
      <c r="V469" s="52"/>
      <c r="W469" s="52"/>
      <c r="X469" s="52"/>
    </row>
    <row r="470">
      <c r="A470" s="52"/>
      <c r="B470" s="60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4"/>
      <c r="R470" s="52"/>
      <c r="S470" s="52"/>
      <c r="T470" s="52"/>
      <c r="U470" s="52"/>
      <c r="V470" s="52"/>
      <c r="W470" s="52"/>
      <c r="X470" s="52"/>
    </row>
    <row r="471">
      <c r="A471" s="52"/>
      <c r="B471" s="60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4"/>
      <c r="R471" s="52"/>
      <c r="S471" s="52"/>
      <c r="T471" s="52"/>
      <c r="U471" s="52"/>
      <c r="V471" s="52"/>
      <c r="W471" s="52"/>
      <c r="X471" s="52"/>
    </row>
    <row r="472">
      <c r="A472" s="52"/>
      <c r="B472" s="60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4"/>
      <c r="R472" s="52"/>
      <c r="S472" s="52"/>
      <c r="T472" s="52"/>
      <c r="U472" s="52"/>
      <c r="V472" s="52"/>
      <c r="W472" s="52"/>
      <c r="X472" s="52"/>
    </row>
    <row r="473">
      <c r="A473" s="52"/>
      <c r="B473" s="60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4"/>
      <c r="R473" s="52"/>
      <c r="S473" s="52"/>
      <c r="T473" s="52"/>
      <c r="U473" s="52"/>
      <c r="V473" s="52"/>
      <c r="W473" s="52"/>
      <c r="X473" s="52"/>
    </row>
    <row r="474">
      <c r="A474" s="52"/>
      <c r="B474" s="60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4"/>
      <c r="R474" s="52"/>
      <c r="S474" s="52"/>
      <c r="T474" s="52"/>
      <c r="U474" s="52"/>
      <c r="V474" s="52"/>
      <c r="W474" s="52"/>
      <c r="X474" s="52"/>
    </row>
    <row r="475">
      <c r="A475" s="52"/>
      <c r="B475" s="60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4"/>
      <c r="R475" s="52"/>
      <c r="S475" s="52"/>
      <c r="T475" s="52"/>
      <c r="U475" s="52"/>
      <c r="V475" s="52"/>
      <c r="W475" s="52"/>
      <c r="X475" s="52"/>
    </row>
    <row r="476">
      <c r="A476" s="52"/>
      <c r="B476" s="60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4"/>
      <c r="R476" s="52"/>
      <c r="S476" s="52"/>
      <c r="T476" s="52"/>
      <c r="U476" s="52"/>
      <c r="V476" s="52"/>
      <c r="W476" s="52"/>
      <c r="X476" s="52"/>
    </row>
    <row r="477">
      <c r="A477" s="52"/>
      <c r="B477" s="60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4"/>
      <c r="R477" s="52"/>
      <c r="S477" s="52"/>
      <c r="T477" s="52"/>
      <c r="U477" s="52"/>
      <c r="V477" s="52"/>
      <c r="W477" s="52"/>
      <c r="X477" s="52"/>
    </row>
    <row r="478">
      <c r="A478" s="52"/>
      <c r="B478" s="60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4"/>
      <c r="R478" s="52"/>
      <c r="S478" s="52"/>
      <c r="T478" s="52"/>
      <c r="U478" s="52"/>
      <c r="V478" s="52"/>
      <c r="W478" s="52"/>
      <c r="X478" s="52"/>
    </row>
    <row r="479">
      <c r="A479" s="52"/>
      <c r="B479" s="60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4"/>
      <c r="R479" s="52"/>
      <c r="S479" s="52"/>
      <c r="T479" s="52"/>
      <c r="U479" s="52"/>
      <c r="V479" s="52"/>
      <c r="W479" s="52"/>
      <c r="X479" s="52"/>
    </row>
    <row r="480">
      <c r="A480" s="52"/>
      <c r="B480" s="60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4"/>
      <c r="R480" s="52"/>
      <c r="S480" s="52"/>
      <c r="T480" s="52"/>
      <c r="U480" s="52"/>
      <c r="V480" s="52"/>
      <c r="W480" s="52"/>
      <c r="X480" s="52"/>
    </row>
    <row r="481">
      <c r="A481" s="52"/>
      <c r="B481" s="60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4"/>
      <c r="R481" s="52"/>
      <c r="S481" s="52"/>
      <c r="T481" s="52"/>
      <c r="U481" s="52"/>
      <c r="V481" s="52"/>
      <c r="W481" s="52"/>
      <c r="X481" s="52"/>
    </row>
    <row r="482">
      <c r="A482" s="52"/>
      <c r="B482" s="60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4"/>
      <c r="R482" s="52"/>
      <c r="S482" s="52"/>
      <c r="T482" s="52"/>
      <c r="U482" s="52"/>
      <c r="V482" s="52"/>
      <c r="W482" s="52"/>
      <c r="X482" s="52"/>
    </row>
    <row r="483">
      <c r="A483" s="52"/>
      <c r="B483" s="60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4"/>
      <c r="R483" s="52"/>
      <c r="S483" s="52"/>
      <c r="T483" s="52"/>
      <c r="U483" s="52"/>
      <c r="V483" s="52"/>
      <c r="W483" s="52"/>
      <c r="X483" s="52"/>
    </row>
    <row r="484">
      <c r="A484" s="52"/>
      <c r="B484" s="60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4"/>
      <c r="R484" s="52"/>
      <c r="S484" s="52"/>
      <c r="T484" s="52"/>
      <c r="U484" s="52"/>
      <c r="V484" s="52"/>
      <c r="W484" s="52"/>
      <c r="X484" s="52"/>
    </row>
    <row r="485">
      <c r="A485" s="52"/>
      <c r="B485" s="60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4"/>
      <c r="R485" s="52"/>
      <c r="S485" s="52"/>
      <c r="T485" s="52"/>
      <c r="U485" s="52"/>
      <c r="V485" s="52"/>
      <c r="W485" s="52"/>
      <c r="X485" s="52"/>
    </row>
    <row r="486">
      <c r="A486" s="52"/>
      <c r="B486" s="60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4"/>
      <c r="R486" s="52"/>
      <c r="S486" s="52"/>
      <c r="T486" s="52"/>
      <c r="U486" s="52"/>
      <c r="V486" s="52"/>
      <c r="W486" s="52"/>
      <c r="X486" s="52"/>
    </row>
    <row r="487">
      <c r="A487" s="52"/>
      <c r="B487" s="60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4"/>
      <c r="R487" s="52"/>
      <c r="S487" s="52"/>
      <c r="T487" s="52"/>
      <c r="U487" s="52"/>
      <c r="V487" s="52"/>
      <c r="W487" s="52"/>
      <c r="X487" s="52"/>
    </row>
    <row r="488">
      <c r="A488" s="52"/>
      <c r="B488" s="60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4"/>
      <c r="R488" s="52"/>
      <c r="S488" s="52"/>
      <c r="T488" s="52"/>
      <c r="U488" s="52"/>
      <c r="V488" s="52"/>
      <c r="W488" s="52"/>
      <c r="X488" s="52"/>
    </row>
    <row r="489">
      <c r="A489" s="52"/>
      <c r="B489" s="60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4"/>
      <c r="R489" s="52"/>
      <c r="S489" s="52"/>
      <c r="T489" s="52"/>
      <c r="U489" s="52"/>
      <c r="V489" s="52"/>
      <c r="W489" s="52"/>
      <c r="X489" s="52"/>
    </row>
    <row r="490">
      <c r="A490" s="52"/>
      <c r="B490" s="60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4"/>
      <c r="R490" s="52"/>
      <c r="S490" s="52"/>
      <c r="T490" s="52"/>
      <c r="U490" s="52"/>
      <c r="V490" s="52"/>
      <c r="W490" s="52"/>
      <c r="X490" s="52"/>
    </row>
    <row r="491">
      <c r="A491" s="52"/>
      <c r="B491" s="60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4"/>
      <c r="R491" s="52"/>
      <c r="S491" s="52"/>
      <c r="T491" s="52"/>
      <c r="U491" s="52"/>
      <c r="V491" s="52"/>
      <c r="W491" s="52"/>
      <c r="X491" s="52"/>
    </row>
    <row r="492">
      <c r="A492" s="52"/>
      <c r="B492" s="60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4"/>
      <c r="R492" s="52"/>
      <c r="S492" s="52"/>
      <c r="T492" s="52"/>
      <c r="U492" s="52"/>
      <c r="V492" s="52"/>
      <c r="W492" s="52"/>
      <c r="X492" s="52"/>
    </row>
    <row r="493">
      <c r="A493" s="52"/>
      <c r="B493" s="60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4"/>
      <c r="R493" s="52"/>
      <c r="S493" s="52"/>
      <c r="T493" s="52"/>
      <c r="U493" s="52"/>
      <c r="V493" s="52"/>
      <c r="W493" s="52"/>
      <c r="X493" s="52"/>
    </row>
    <row r="494">
      <c r="A494" s="52"/>
      <c r="B494" s="60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4"/>
      <c r="R494" s="52"/>
      <c r="S494" s="52"/>
      <c r="T494" s="52"/>
      <c r="U494" s="52"/>
      <c r="V494" s="52"/>
      <c r="W494" s="52"/>
      <c r="X494" s="52"/>
    </row>
    <row r="495">
      <c r="A495" s="52"/>
      <c r="B495" s="60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4"/>
      <c r="R495" s="52"/>
      <c r="S495" s="52"/>
      <c r="T495" s="52"/>
      <c r="U495" s="52"/>
      <c r="V495" s="52"/>
      <c r="W495" s="52"/>
      <c r="X495" s="52"/>
    </row>
    <row r="496">
      <c r="A496" s="52"/>
      <c r="B496" s="60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4"/>
      <c r="R496" s="52"/>
      <c r="S496" s="52"/>
      <c r="T496" s="52"/>
      <c r="U496" s="52"/>
      <c r="V496" s="52"/>
      <c r="W496" s="52"/>
      <c r="X496" s="52"/>
    </row>
    <row r="497">
      <c r="A497" s="52"/>
      <c r="B497" s="60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4"/>
      <c r="R497" s="52"/>
      <c r="S497" s="52"/>
      <c r="T497" s="52"/>
      <c r="U497" s="52"/>
      <c r="V497" s="52"/>
      <c r="W497" s="52"/>
      <c r="X497" s="52"/>
    </row>
    <row r="498">
      <c r="A498" s="52"/>
      <c r="B498" s="60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4"/>
      <c r="R498" s="52"/>
      <c r="S498" s="52"/>
      <c r="T498" s="52"/>
      <c r="U498" s="52"/>
      <c r="V498" s="52"/>
      <c r="W498" s="52"/>
      <c r="X498" s="52"/>
    </row>
    <row r="499">
      <c r="A499" s="52"/>
      <c r="B499" s="60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4"/>
      <c r="R499" s="52"/>
      <c r="S499" s="52"/>
      <c r="T499" s="52"/>
      <c r="U499" s="52"/>
      <c r="V499" s="52"/>
      <c r="W499" s="52"/>
      <c r="X499" s="52"/>
    </row>
    <row r="500">
      <c r="A500" s="52"/>
      <c r="B500" s="60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4"/>
      <c r="R500" s="52"/>
      <c r="S500" s="52"/>
      <c r="T500" s="52"/>
      <c r="U500" s="52"/>
      <c r="V500" s="52"/>
      <c r="W500" s="52"/>
      <c r="X500" s="52"/>
    </row>
    <row r="501">
      <c r="A501" s="52"/>
      <c r="B501" s="60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4"/>
      <c r="R501" s="52"/>
      <c r="S501" s="52"/>
      <c r="T501" s="52"/>
      <c r="U501" s="52"/>
      <c r="V501" s="52"/>
      <c r="W501" s="52"/>
      <c r="X501" s="52"/>
    </row>
    <row r="502">
      <c r="A502" s="52"/>
      <c r="B502" s="60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4"/>
      <c r="R502" s="52"/>
      <c r="S502" s="52"/>
      <c r="T502" s="52"/>
      <c r="U502" s="52"/>
      <c r="V502" s="52"/>
      <c r="W502" s="52"/>
      <c r="X502" s="52"/>
    </row>
    <row r="503">
      <c r="A503" s="52"/>
      <c r="B503" s="60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4"/>
      <c r="R503" s="52"/>
      <c r="S503" s="52"/>
      <c r="T503" s="52"/>
      <c r="U503" s="52"/>
      <c r="V503" s="52"/>
      <c r="W503" s="52"/>
      <c r="X503" s="52"/>
    </row>
    <row r="504">
      <c r="A504" s="52"/>
      <c r="B504" s="60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4"/>
      <c r="R504" s="52"/>
      <c r="S504" s="52"/>
      <c r="T504" s="52"/>
      <c r="U504" s="52"/>
      <c r="V504" s="52"/>
      <c r="W504" s="52"/>
      <c r="X504" s="52"/>
    </row>
    <row r="505">
      <c r="A505" s="52"/>
      <c r="B505" s="60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4"/>
      <c r="R505" s="52"/>
      <c r="S505" s="52"/>
      <c r="T505" s="52"/>
      <c r="U505" s="52"/>
      <c r="V505" s="52"/>
      <c r="W505" s="52"/>
      <c r="X505" s="52"/>
    </row>
    <row r="506">
      <c r="A506" s="52"/>
      <c r="B506" s="60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4"/>
      <c r="R506" s="52"/>
      <c r="S506" s="52"/>
      <c r="T506" s="52"/>
      <c r="U506" s="52"/>
      <c r="V506" s="52"/>
      <c r="W506" s="52"/>
      <c r="X506" s="52"/>
    </row>
    <row r="507">
      <c r="A507" s="52"/>
      <c r="B507" s="60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4"/>
      <c r="R507" s="52"/>
      <c r="S507" s="52"/>
      <c r="T507" s="52"/>
      <c r="U507" s="52"/>
      <c r="V507" s="52"/>
      <c r="W507" s="52"/>
      <c r="X507" s="52"/>
    </row>
    <row r="508">
      <c r="A508" s="52"/>
      <c r="B508" s="60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4"/>
      <c r="R508" s="52"/>
      <c r="S508" s="52"/>
      <c r="T508" s="52"/>
      <c r="U508" s="52"/>
      <c r="V508" s="52"/>
      <c r="W508" s="52"/>
      <c r="X508" s="52"/>
    </row>
    <row r="509">
      <c r="A509" s="52"/>
      <c r="B509" s="60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4"/>
      <c r="R509" s="52"/>
      <c r="S509" s="52"/>
      <c r="T509" s="52"/>
      <c r="U509" s="52"/>
      <c r="V509" s="52"/>
      <c r="W509" s="52"/>
      <c r="X509" s="52"/>
    </row>
    <row r="510">
      <c r="A510" s="52"/>
      <c r="B510" s="60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4"/>
      <c r="R510" s="52"/>
      <c r="S510" s="52"/>
      <c r="T510" s="52"/>
      <c r="U510" s="52"/>
      <c r="V510" s="52"/>
      <c r="W510" s="52"/>
      <c r="X510" s="52"/>
    </row>
    <row r="511">
      <c r="A511" s="52"/>
      <c r="B511" s="60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4"/>
      <c r="R511" s="52"/>
      <c r="S511" s="52"/>
      <c r="T511" s="52"/>
      <c r="U511" s="52"/>
      <c r="V511" s="52"/>
      <c r="W511" s="52"/>
      <c r="X511" s="52"/>
    </row>
    <row r="512">
      <c r="A512" s="52"/>
      <c r="B512" s="60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4"/>
      <c r="R512" s="52"/>
      <c r="S512" s="52"/>
      <c r="T512" s="52"/>
      <c r="U512" s="52"/>
      <c r="V512" s="52"/>
      <c r="W512" s="52"/>
      <c r="X512" s="52"/>
    </row>
    <row r="513">
      <c r="A513" s="52"/>
      <c r="B513" s="60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4"/>
      <c r="R513" s="52"/>
      <c r="S513" s="52"/>
      <c r="T513" s="52"/>
      <c r="U513" s="52"/>
      <c r="V513" s="52"/>
      <c r="W513" s="52"/>
      <c r="X513" s="52"/>
    </row>
    <row r="514">
      <c r="A514" s="52"/>
      <c r="B514" s="60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4"/>
      <c r="R514" s="52"/>
      <c r="S514" s="52"/>
      <c r="T514" s="52"/>
      <c r="U514" s="52"/>
      <c r="V514" s="52"/>
      <c r="W514" s="52"/>
      <c r="X514" s="52"/>
    </row>
    <row r="515">
      <c r="A515" s="52"/>
      <c r="B515" s="60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4"/>
      <c r="R515" s="52"/>
      <c r="S515" s="52"/>
      <c r="T515" s="52"/>
      <c r="U515" s="52"/>
      <c r="V515" s="52"/>
      <c r="W515" s="52"/>
      <c r="X515" s="52"/>
    </row>
    <row r="516">
      <c r="A516" s="52"/>
      <c r="B516" s="60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4"/>
      <c r="R516" s="52"/>
      <c r="S516" s="52"/>
      <c r="T516" s="52"/>
      <c r="U516" s="52"/>
      <c r="V516" s="52"/>
      <c r="W516" s="52"/>
      <c r="X516" s="52"/>
    </row>
    <row r="517">
      <c r="A517" s="52"/>
      <c r="B517" s="60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4"/>
      <c r="R517" s="52"/>
      <c r="S517" s="52"/>
      <c r="T517" s="52"/>
      <c r="U517" s="52"/>
      <c r="V517" s="52"/>
      <c r="W517" s="52"/>
      <c r="X517" s="52"/>
    </row>
    <row r="518">
      <c r="A518" s="52"/>
      <c r="B518" s="60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4"/>
      <c r="R518" s="52"/>
      <c r="S518" s="52"/>
      <c r="T518" s="52"/>
      <c r="U518" s="52"/>
      <c r="V518" s="52"/>
      <c r="W518" s="52"/>
      <c r="X518" s="52"/>
    </row>
    <row r="519">
      <c r="A519" s="52"/>
      <c r="B519" s="60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4"/>
      <c r="R519" s="52"/>
      <c r="S519" s="52"/>
      <c r="T519" s="52"/>
      <c r="U519" s="52"/>
      <c r="V519" s="52"/>
      <c r="W519" s="52"/>
      <c r="X519" s="52"/>
    </row>
    <row r="520">
      <c r="A520" s="52"/>
      <c r="B520" s="60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4"/>
      <c r="R520" s="52"/>
      <c r="S520" s="52"/>
      <c r="T520" s="52"/>
      <c r="U520" s="52"/>
      <c r="V520" s="52"/>
      <c r="W520" s="52"/>
      <c r="X520" s="52"/>
    </row>
    <row r="521">
      <c r="A521" s="52"/>
      <c r="B521" s="60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4"/>
      <c r="R521" s="52"/>
      <c r="S521" s="52"/>
      <c r="T521" s="52"/>
      <c r="U521" s="52"/>
      <c r="V521" s="52"/>
      <c r="W521" s="52"/>
      <c r="X521" s="52"/>
    </row>
    <row r="522">
      <c r="A522" s="52"/>
      <c r="B522" s="60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4"/>
      <c r="R522" s="52"/>
      <c r="S522" s="52"/>
      <c r="T522" s="52"/>
      <c r="U522" s="52"/>
      <c r="V522" s="52"/>
      <c r="W522" s="52"/>
      <c r="X522" s="52"/>
    </row>
    <row r="523">
      <c r="A523" s="52"/>
      <c r="B523" s="60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4"/>
      <c r="R523" s="52"/>
      <c r="S523" s="52"/>
      <c r="T523" s="52"/>
      <c r="U523" s="52"/>
      <c r="V523" s="52"/>
      <c r="W523" s="52"/>
      <c r="X523" s="52"/>
    </row>
    <row r="524">
      <c r="A524" s="52"/>
      <c r="B524" s="60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4"/>
      <c r="R524" s="52"/>
      <c r="S524" s="52"/>
      <c r="T524" s="52"/>
      <c r="U524" s="52"/>
      <c r="V524" s="52"/>
      <c r="W524" s="52"/>
      <c r="X524" s="52"/>
    </row>
    <row r="525">
      <c r="A525" s="52"/>
      <c r="B525" s="60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4"/>
      <c r="R525" s="52"/>
      <c r="S525" s="52"/>
      <c r="T525" s="52"/>
      <c r="U525" s="52"/>
      <c r="V525" s="52"/>
      <c r="W525" s="52"/>
      <c r="X525" s="52"/>
    </row>
    <row r="526">
      <c r="A526" s="52"/>
      <c r="B526" s="60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4"/>
      <c r="R526" s="52"/>
      <c r="S526" s="52"/>
      <c r="T526" s="52"/>
      <c r="U526" s="52"/>
      <c r="V526" s="52"/>
      <c r="W526" s="52"/>
      <c r="X526" s="52"/>
    </row>
    <row r="527">
      <c r="A527" s="52"/>
      <c r="B527" s="60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4"/>
      <c r="R527" s="52"/>
      <c r="S527" s="52"/>
      <c r="T527" s="52"/>
      <c r="U527" s="52"/>
      <c r="V527" s="52"/>
      <c r="W527" s="52"/>
      <c r="X527" s="52"/>
    </row>
    <row r="528">
      <c r="A528" s="52"/>
      <c r="B528" s="60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4"/>
      <c r="R528" s="52"/>
      <c r="S528" s="52"/>
      <c r="T528" s="52"/>
      <c r="U528" s="52"/>
      <c r="V528" s="52"/>
      <c r="W528" s="52"/>
      <c r="X528" s="52"/>
    </row>
    <row r="529">
      <c r="A529" s="52"/>
      <c r="B529" s="60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4"/>
      <c r="R529" s="52"/>
      <c r="S529" s="52"/>
      <c r="T529" s="52"/>
      <c r="U529" s="52"/>
      <c r="V529" s="52"/>
      <c r="W529" s="52"/>
      <c r="X529" s="52"/>
    </row>
    <row r="530">
      <c r="A530" s="52"/>
      <c r="B530" s="60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4"/>
      <c r="R530" s="52"/>
      <c r="S530" s="52"/>
      <c r="T530" s="52"/>
      <c r="U530" s="52"/>
      <c r="V530" s="52"/>
      <c r="W530" s="52"/>
      <c r="X530" s="52"/>
    </row>
    <row r="531">
      <c r="A531" s="52"/>
      <c r="B531" s="60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4"/>
      <c r="R531" s="52"/>
      <c r="S531" s="52"/>
      <c r="T531" s="52"/>
      <c r="U531" s="52"/>
      <c r="V531" s="52"/>
      <c r="W531" s="52"/>
      <c r="X531" s="52"/>
    </row>
    <row r="532">
      <c r="A532" s="52"/>
      <c r="B532" s="60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4"/>
      <c r="R532" s="52"/>
      <c r="S532" s="52"/>
      <c r="T532" s="52"/>
      <c r="U532" s="52"/>
      <c r="V532" s="52"/>
      <c r="W532" s="52"/>
      <c r="X532" s="52"/>
    </row>
    <row r="533">
      <c r="A533" s="52"/>
      <c r="B533" s="60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4"/>
      <c r="R533" s="52"/>
      <c r="S533" s="52"/>
      <c r="T533" s="52"/>
      <c r="U533" s="52"/>
      <c r="V533" s="52"/>
      <c r="W533" s="52"/>
      <c r="X533" s="52"/>
    </row>
    <row r="534">
      <c r="A534" s="52"/>
      <c r="B534" s="60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4"/>
      <c r="R534" s="52"/>
      <c r="S534" s="52"/>
      <c r="T534" s="52"/>
      <c r="U534" s="52"/>
      <c r="V534" s="52"/>
      <c r="W534" s="52"/>
      <c r="X534" s="52"/>
    </row>
    <row r="535">
      <c r="A535" s="52"/>
      <c r="B535" s="60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4"/>
      <c r="R535" s="52"/>
      <c r="S535" s="52"/>
      <c r="T535" s="52"/>
      <c r="U535" s="52"/>
      <c r="V535" s="52"/>
      <c r="W535" s="52"/>
      <c r="X535" s="52"/>
    </row>
    <row r="536">
      <c r="A536" s="52"/>
      <c r="B536" s="60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4"/>
      <c r="R536" s="52"/>
      <c r="S536" s="52"/>
      <c r="T536" s="52"/>
      <c r="U536" s="52"/>
      <c r="V536" s="52"/>
      <c r="W536" s="52"/>
      <c r="X536" s="52"/>
    </row>
    <row r="537">
      <c r="A537" s="52"/>
      <c r="B537" s="60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4"/>
      <c r="R537" s="52"/>
      <c r="S537" s="52"/>
      <c r="T537" s="52"/>
      <c r="U537" s="52"/>
      <c r="V537" s="52"/>
      <c r="W537" s="52"/>
      <c r="X537" s="52"/>
    </row>
    <row r="538">
      <c r="A538" s="52"/>
      <c r="B538" s="60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4"/>
      <c r="R538" s="52"/>
      <c r="S538" s="52"/>
      <c r="T538" s="52"/>
      <c r="U538" s="52"/>
      <c r="V538" s="52"/>
      <c r="W538" s="52"/>
      <c r="X538" s="52"/>
    </row>
    <row r="539">
      <c r="A539" s="52"/>
      <c r="B539" s="60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4"/>
      <c r="R539" s="52"/>
      <c r="S539" s="52"/>
      <c r="T539" s="52"/>
      <c r="U539" s="52"/>
      <c r="V539" s="52"/>
      <c r="W539" s="52"/>
      <c r="X539" s="52"/>
    </row>
    <row r="540">
      <c r="A540" s="52"/>
      <c r="B540" s="60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4"/>
      <c r="R540" s="52"/>
      <c r="S540" s="52"/>
      <c r="T540" s="52"/>
      <c r="U540" s="52"/>
      <c r="V540" s="52"/>
      <c r="W540" s="52"/>
      <c r="X540" s="52"/>
    </row>
    <row r="541">
      <c r="A541" s="52"/>
      <c r="B541" s="60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4"/>
      <c r="R541" s="52"/>
      <c r="S541" s="52"/>
      <c r="T541" s="52"/>
      <c r="U541" s="52"/>
      <c r="V541" s="52"/>
      <c r="W541" s="52"/>
      <c r="X541" s="52"/>
    </row>
    <row r="542">
      <c r="A542" s="52"/>
      <c r="B542" s="60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4"/>
      <c r="R542" s="52"/>
      <c r="S542" s="52"/>
      <c r="T542" s="52"/>
      <c r="U542" s="52"/>
      <c r="V542" s="52"/>
      <c r="W542" s="52"/>
      <c r="X542" s="52"/>
    </row>
    <row r="543">
      <c r="A543" s="52"/>
      <c r="B543" s="60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4"/>
      <c r="R543" s="52"/>
      <c r="S543" s="52"/>
      <c r="T543" s="52"/>
      <c r="U543" s="52"/>
      <c r="V543" s="52"/>
      <c r="W543" s="52"/>
      <c r="X543" s="52"/>
    </row>
    <row r="544">
      <c r="A544" s="52"/>
      <c r="B544" s="60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4"/>
      <c r="R544" s="52"/>
      <c r="S544" s="52"/>
      <c r="T544" s="52"/>
      <c r="U544" s="52"/>
      <c r="V544" s="52"/>
      <c r="W544" s="52"/>
      <c r="X544" s="52"/>
    </row>
    <row r="545">
      <c r="A545" s="52"/>
      <c r="B545" s="60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4"/>
      <c r="R545" s="52"/>
      <c r="S545" s="52"/>
      <c r="T545" s="52"/>
      <c r="U545" s="52"/>
      <c r="V545" s="52"/>
      <c r="W545" s="52"/>
      <c r="X545" s="52"/>
    </row>
    <row r="546">
      <c r="A546" s="52"/>
      <c r="B546" s="60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4"/>
      <c r="R546" s="52"/>
      <c r="S546" s="52"/>
      <c r="T546" s="52"/>
      <c r="U546" s="52"/>
      <c r="V546" s="52"/>
      <c r="W546" s="52"/>
      <c r="X546" s="52"/>
    </row>
    <row r="547">
      <c r="A547" s="52"/>
      <c r="B547" s="60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4"/>
      <c r="R547" s="52"/>
      <c r="S547" s="52"/>
      <c r="T547" s="52"/>
      <c r="U547" s="52"/>
      <c r="V547" s="52"/>
      <c r="W547" s="52"/>
      <c r="X547" s="52"/>
    </row>
    <row r="548">
      <c r="A548" s="52"/>
      <c r="B548" s="60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4"/>
      <c r="R548" s="52"/>
      <c r="S548" s="52"/>
      <c r="T548" s="52"/>
      <c r="U548" s="52"/>
      <c r="V548" s="52"/>
      <c r="W548" s="52"/>
      <c r="X548" s="52"/>
    </row>
    <row r="549">
      <c r="A549" s="52"/>
      <c r="B549" s="60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4"/>
      <c r="R549" s="52"/>
      <c r="S549" s="52"/>
      <c r="T549" s="52"/>
      <c r="U549" s="52"/>
      <c r="V549" s="52"/>
      <c r="W549" s="52"/>
      <c r="X549" s="52"/>
    </row>
    <row r="550">
      <c r="A550" s="52"/>
      <c r="B550" s="60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4"/>
      <c r="R550" s="52"/>
      <c r="S550" s="52"/>
      <c r="T550" s="52"/>
      <c r="U550" s="52"/>
      <c r="V550" s="52"/>
      <c r="W550" s="52"/>
      <c r="X550" s="52"/>
    </row>
    <row r="551">
      <c r="A551" s="52"/>
      <c r="B551" s="60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4"/>
      <c r="R551" s="52"/>
      <c r="S551" s="52"/>
      <c r="T551" s="52"/>
      <c r="U551" s="52"/>
      <c r="V551" s="52"/>
      <c r="W551" s="52"/>
      <c r="X551" s="52"/>
    </row>
    <row r="552">
      <c r="A552" s="52"/>
      <c r="B552" s="60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4"/>
      <c r="R552" s="52"/>
      <c r="S552" s="52"/>
      <c r="T552" s="52"/>
      <c r="U552" s="52"/>
      <c r="V552" s="52"/>
      <c r="W552" s="52"/>
      <c r="X552" s="52"/>
    </row>
    <row r="553">
      <c r="A553" s="52"/>
      <c r="B553" s="60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4"/>
      <c r="R553" s="52"/>
      <c r="S553" s="52"/>
      <c r="T553" s="52"/>
      <c r="U553" s="52"/>
      <c r="V553" s="52"/>
      <c r="W553" s="52"/>
      <c r="X553" s="52"/>
    </row>
    <row r="554">
      <c r="A554" s="52"/>
      <c r="B554" s="60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4"/>
      <c r="R554" s="52"/>
      <c r="S554" s="52"/>
      <c r="T554" s="52"/>
      <c r="U554" s="52"/>
      <c r="V554" s="52"/>
      <c r="W554" s="52"/>
      <c r="X554" s="52"/>
    </row>
    <row r="555">
      <c r="A555" s="52"/>
      <c r="B555" s="60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4"/>
      <c r="R555" s="52"/>
      <c r="S555" s="52"/>
      <c r="T555" s="52"/>
      <c r="U555" s="52"/>
      <c r="V555" s="52"/>
      <c r="W555" s="52"/>
      <c r="X555" s="52"/>
    </row>
    <row r="556">
      <c r="A556" s="52"/>
      <c r="B556" s="60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4"/>
      <c r="R556" s="52"/>
      <c r="S556" s="52"/>
      <c r="T556" s="52"/>
      <c r="U556" s="52"/>
      <c r="V556" s="52"/>
      <c r="W556" s="52"/>
      <c r="X556" s="52"/>
    </row>
    <row r="557">
      <c r="A557" s="52"/>
      <c r="B557" s="60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4"/>
      <c r="R557" s="52"/>
      <c r="S557" s="52"/>
      <c r="T557" s="52"/>
      <c r="U557" s="52"/>
      <c r="V557" s="52"/>
      <c r="W557" s="52"/>
      <c r="X557" s="52"/>
    </row>
    <row r="558">
      <c r="A558" s="52"/>
      <c r="B558" s="60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4"/>
      <c r="R558" s="52"/>
      <c r="S558" s="52"/>
      <c r="T558" s="52"/>
      <c r="U558" s="52"/>
      <c r="V558" s="52"/>
      <c r="W558" s="52"/>
      <c r="X558" s="52"/>
    </row>
    <row r="559">
      <c r="A559" s="52"/>
      <c r="B559" s="60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4"/>
      <c r="R559" s="52"/>
      <c r="S559" s="52"/>
      <c r="T559" s="52"/>
      <c r="U559" s="52"/>
      <c r="V559" s="52"/>
      <c r="W559" s="52"/>
      <c r="X559" s="52"/>
    </row>
    <row r="560">
      <c r="A560" s="52"/>
      <c r="B560" s="60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4"/>
      <c r="R560" s="52"/>
      <c r="S560" s="52"/>
      <c r="T560" s="52"/>
      <c r="U560" s="52"/>
      <c r="V560" s="52"/>
      <c r="W560" s="52"/>
      <c r="X560" s="52"/>
    </row>
    <row r="561">
      <c r="A561" s="52"/>
      <c r="B561" s="60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4"/>
      <c r="R561" s="52"/>
      <c r="S561" s="52"/>
      <c r="T561" s="52"/>
      <c r="U561" s="52"/>
      <c r="V561" s="52"/>
      <c r="W561" s="52"/>
      <c r="X561" s="52"/>
    </row>
    <row r="562">
      <c r="A562" s="52"/>
      <c r="B562" s="60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4"/>
      <c r="R562" s="52"/>
      <c r="S562" s="52"/>
      <c r="T562" s="52"/>
      <c r="U562" s="52"/>
      <c r="V562" s="52"/>
      <c r="W562" s="52"/>
      <c r="X562" s="52"/>
    </row>
    <row r="563">
      <c r="A563" s="52"/>
      <c r="B563" s="60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4"/>
      <c r="R563" s="52"/>
      <c r="S563" s="52"/>
      <c r="T563" s="52"/>
      <c r="U563" s="52"/>
      <c r="V563" s="52"/>
      <c r="W563" s="52"/>
      <c r="X563" s="52"/>
    </row>
    <row r="564">
      <c r="A564" s="52"/>
      <c r="B564" s="60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4"/>
      <c r="R564" s="52"/>
      <c r="S564" s="52"/>
      <c r="T564" s="52"/>
      <c r="U564" s="52"/>
      <c r="V564" s="52"/>
      <c r="W564" s="52"/>
      <c r="X564" s="52"/>
    </row>
    <row r="565">
      <c r="A565" s="52"/>
      <c r="B565" s="60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4"/>
      <c r="R565" s="52"/>
      <c r="S565" s="52"/>
      <c r="T565" s="52"/>
      <c r="U565" s="52"/>
      <c r="V565" s="52"/>
      <c r="W565" s="52"/>
      <c r="X565" s="52"/>
    </row>
    <row r="566">
      <c r="A566" s="52"/>
      <c r="B566" s="60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4"/>
      <c r="R566" s="52"/>
      <c r="S566" s="52"/>
      <c r="T566" s="52"/>
      <c r="U566" s="52"/>
      <c r="V566" s="52"/>
      <c r="W566" s="52"/>
      <c r="X566" s="52"/>
    </row>
    <row r="567">
      <c r="A567" s="52"/>
      <c r="B567" s="60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4"/>
      <c r="R567" s="52"/>
      <c r="S567" s="52"/>
      <c r="T567" s="52"/>
      <c r="U567" s="52"/>
      <c r="V567" s="52"/>
      <c r="W567" s="52"/>
      <c r="X567" s="52"/>
    </row>
    <row r="568">
      <c r="A568" s="52"/>
      <c r="B568" s="60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4"/>
      <c r="R568" s="52"/>
      <c r="S568" s="52"/>
      <c r="T568" s="52"/>
      <c r="U568" s="52"/>
      <c r="V568" s="52"/>
      <c r="W568" s="52"/>
      <c r="X568" s="52"/>
    </row>
    <row r="569">
      <c r="A569" s="52"/>
      <c r="B569" s="60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4"/>
      <c r="R569" s="52"/>
      <c r="S569" s="52"/>
      <c r="T569" s="52"/>
      <c r="U569" s="52"/>
      <c r="V569" s="52"/>
      <c r="W569" s="52"/>
      <c r="X569" s="52"/>
    </row>
    <row r="570">
      <c r="A570" s="52"/>
      <c r="B570" s="60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4"/>
      <c r="R570" s="52"/>
      <c r="S570" s="52"/>
      <c r="T570" s="52"/>
      <c r="U570" s="52"/>
      <c r="V570" s="52"/>
      <c r="W570" s="52"/>
      <c r="X570" s="52"/>
    </row>
    <row r="571">
      <c r="A571" s="52"/>
      <c r="B571" s="60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4"/>
      <c r="R571" s="52"/>
      <c r="S571" s="52"/>
      <c r="T571" s="52"/>
      <c r="U571" s="52"/>
      <c r="V571" s="52"/>
      <c r="W571" s="52"/>
      <c r="X571" s="52"/>
    </row>
    <row r="572">
      <c r="A572" s="52"/>
      <c r="B572" s="60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4"/>
      <c r="R572" s="52"/>
      <c r="S572" s="52"/>
      <c r="T572" s="52"/>
      <c r="U572" s="52"/>
      <c r="V572" s="52"/>
      <c r="W572" s="52"/>
      <c r="X572" s="52"/>
    </row>
    <row r="573">
      <c r="A573" s="52"/>
      <c r="B573" s="60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4"/>
      <c r="R573" s="52"/>
      <c r="S573" s="52"/>
      <c r="T573" s="52"/>
      <c r="U573" s="52"/>
      <c r="V573" s="52"/>
      <c r="W573" s="52"/>
      <c r="X573" s="52"/>
    </row>
    <row r="574">
      <c r="A574" s="52"/>
      <c r="B574" s="60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4"/>
      <c r="R574" s="52"/>
      <c r="S574" s="52"/>
      <c r="T574" s="52"/>
      <c r="U574" s="52"/>
      <c r="V574" s="52"/>
      <c r="W574" s="52"/>
      <c r="X574" s="52"/>
    </row>
    <row r="575">
      <c r="A575" s="52"/>
      <c r="B575" s="60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4"/>
      <c r="R575" s="52"/>
      <c r="S575" s="52"/>
      <c r="T575" s="52"/>
      <c r="U575" s="52"/>
      <c r="V575" s="52"/>
      <c r="W575" s="52"/>
      <c r="X575" s="52"/>
    </row>
    <row r="576">
      <c r="A576" s="52"/>
      <c r="B576" s="60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4"/>
      <c r="R576" s="52"/>
      <c r="S576" s="52"/>
      <c r="T576" s="52"/>
      <c r="U576" s="52"/>
      <c r="V576" s="52"/>
      <c r="W576" s="52"/>
      <c r="X576" s="52"/>
    </row>
    <row r="577">
      <c r="A577" s="52"/>
      <c r="B577" s="60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4"/>
      <c r="R577" s="52"/>
      <c r="S577" s="52"/>
      <c r="T577" s="52"/>
      <c r="U577" s="52"/>
      <c r="V577" s="52"/>
      <c r="W577" s="52"/>
      <c r="X577" s="52"/>
    </row>
    <row r="578">
      <c r="A578" s="52"/>
      <c r="B578" s="60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4"/>
      <c r="R578" s="52"/>
      <c r="S578" s="52"/>
      <c r="T578" s="52"/>
      <c r="U578" s="52"/>
      <c r="V578" s="52"/>
      <c r="W578" s="52"/>
      <c r="X578" s="52"/>
    </row>
    <row r="579">
      <c r="A579" s="52"/>
      <c r="B579" s="60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4"/>
      <c r="R579" s="52"/>
      <c r="S579" s="52"/>
      <c r="T579" s="52"/>
      <c r="U579" s="52"/>
      <c r="V579" s="52"/>
      <c r="W579" s="52"/>
      <c r="X579" s="52"/>
    </row>
    <row r="580">
      <c r="A580" s="52"/>
      <c r="B580" s="60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4"/>
      <c r="R580" s="52"/>
      <c r="S580" s="52"/>
      <c r="T580" s="52"/>
      <c r="U580" s="52"/>
      <c r="V580" s="52"/>
      <c r="W580" s="52"/>
      <c r="X580" s="52"/>
    </row>
    <row r="581">
      <c r="A581" s="52"/>
      <c r="B581" s="60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4"/>
      <c r="R581" s="52"/>
      <c r="S581" s="52"/>
      <c r="T581" s="52"/>
      <c r="U581" s="52"/>
      <c r="V581" s="52"/>
      <c r="W581" s="52"/>
      <c r="X581" s="52"/>
    </row>
    <row r="582">
      <c r="A582" s="52"/>
      <c r="B582" s="60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4"/>
      <c r="R582" s="52"/>
      <c r="S582" s="52"/>
      <c r="T582" s="52"/>
      <c r="U582" s="52"/>
      <c r="V582" s="52"/>
      <c r="W582" s="52"/>
      <c r="X582" s="52"/>
    </row>
    <row r="583">
      <c r="A583" s="52"/>
      <c r="B583" s="60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4"/>
      <c r="R583" s="52"/>
      <c r="S583" s="52"/>
      <c r="T583" s="52"/>
      <c r="U583" s="52"/>
      <c r="V583" s="52"/>
      <c r="W583" s="52"/>
      <c r="X583" s="52"/>
    </row>
    <row r="584">
      <c r="A584" s="52"/>
      <c r="B584" s="60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4"/>
      <c r="R584" s="52"/>
      <c r="S584" s="52"/>
      <c r="T584" s="52"/>
      <c r="U584" s="52"/>
      <c r="V584" s="52"/>
      <c r="W584" s="52"/>
      <c r="X584" s="52"/>
    </row>
    <row r="585">
      <c r="A585" s="52"/>
      <c r="B585" s="60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4"/>
      <c r="R585" s="52"/>
      <c r="S585" s="52"/>
      <c r="T585" s="52"/>
      <c r="U585" s="52"/>
      <c r="V585" s="52"/>
      <c r="W585" s="52"/>
      <c r="X585" s="52"/>
    </row>
    <row r="586">
      <c r="A586" s="52"/>
      <c r="B586" s="60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4"/>
      <c r="R586" s="52"/>
      <c r="S586" s="52"/>
      <c r="T586" s="52"/>
      <c r="U586" s="52"/>
      <c r="V586" s="52"/>
      <c r="W586" s="52"/>
      <c r="X586" s="52"/>
    </row>
    <row r="587">
      <c r="A587" s="52"/>
      <c r="B587" s="60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4"/>
      <c r="R587" s="52"/>
      <c r="S587" s="52"/>
      <c r="T587" s="52"/>
      <c r="U587" s="52"/>
      <c r="V587" s="52"/>
      <c r="W587" s="52"/>
      <c r="X587" s="52"/>
    </row>
    <row r="588">
      <c r="A588" s="52"/>
      <c r="B588" s="60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4"/>
      <c r="R588" s="52"/>
      <c r="S588" s="52"/>
      <c r="T588" s="52"/>
      <c r="U588" s="52"/>
      <c r="V588" s="52"/>
      <c r="W588" s="52"/>
      <c r="X588" s="52"/>
    </row>
    <row r="589">
      <c r="A589" s="52"/>
      <c r="B589" s="60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4"/>
      <c r="R589" s="52"/>
      <c r="S589" s="52"/>
      <c r="T589" s="52"/>
      <c r="U589" s="52"/>
      <c r="V589" s="52"/>
      <c r="W589" s="52"/>
      <c r="X589" s="52"/>
    </row>
    <row r="590">
      <c r="A590" s="52"/>
      <c r="B590" s="60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4"/>
      <c r="R590" s="52"/>
      <c r="S590" s="52"/>
      <c r="T590" s="52"/>
      <c r="U590" s="52"/>
      <c r="V590" s="52"/>
      <c r="W590" s="52"/>
      <c r="X590" s="52"/>
    </row>
    <row r="591">
      <c r="A591" s="52"/>
      <c r="B591" s="60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4"/>
      <c r="R591" s="52"/>
      <c r="S591" s="52"/>
      <c r="T591" s="52"/>
      <c r="U591" s="52"/>
      <c r="V591" s="52"/>
      <c r="W591" s="52"/>
      <c r="X591" s="52"/>
    </row>
    <row r="592">
      <c r="A592" s="52"/>
      <c r="B592" s="60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4"/>
      <c r="R592" s="52"/>
      <c r="S592" s="52"/>
      <c r="T592" s="52"/>
      <c r="U592" s="52"/>
      <c r="V592" s="52"/>
      <c r="W592" s="52"/>
      <c r="X592" s="52"/>
    </row>
    <row r="593">
      <c r="A593" s="52"/>
      <c r="B593" s="60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4"/>
      <c r="R593" s="52"/>
      <c r="S593" s="52"/>
      <c r="T593" s="52"/>
      <c r="U593" s="52"/>
      <c r="V593" s="52"/>
      <c r="W593" s="52"/>
      <c r="X593" s="52"/>
    </row>
    <row r="594">
      <c r="A594" s="52"/>
      <c r="B594" s="60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4"/>
      <c r="R594" s="52"/>
      <c r="S594" s="52"/>
      <c r="T594" s="52"/>
      <c r="U594" s="52"/>
      <c r="V594" s="52"/>
      <c r="W594" s="52"/>
      <c r="X594" s="52"/>
    </row>
    <row r="595">
      <c r="A595" s="52"/>
      <c r="B595" s="60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4"/>
      <c r="R595" s="52"/>
      <c r="S595" s="52"/>
      <c r="T595" s="52"/>
      <c r="U595" s="52"/>
      <c r="V595" s="52"/>
      <c r="W595" s="52"/>
      <c r="X595" s="52"/>
    </row>
    <row r="596">
      <c r="A596" s="52"/>
      <c r="B596" s="60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4"/>
      <c r="R596" s="52"/>
      <c r="S596" s="52"/>
      <c r="T596" s="52"/>
      <c r="U596" s="52"/>
      <c r="V596" s="52"/>
      <c r="W596" s="52"/>
      <c r="X596" s="52"/>
    </row>
    <row r="597">
      <c r="A597" s="52"/>
      <c r="B597" s="60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4"/>
      <c r="R597" s="52"/>
      <c r="S597" s="52"/>
      <c r="T597" s="52"/>
      <c r="U597" s="52"/>
      <c r="V597" s="52"/>
      <c r="W597" s="52"/>
      <c r="X597" s="52"/>
    </row>
    <row r="598">
      <c r="A598" s="52"/>
      <c r="B598" s="60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4"/>
      <c r="R598" s="52"/>
      <c r="S598" s="52"/>
      <c r="T598" s="52"/>
      <c r="U598" s="52"/>
      <c r="V598" s="52"/>
      <c r="W598" s="52"/>
      <c r="X598" s="52"/>
    </row>
    <row r="599">
      <c r="A599" s="52"/>
      <c r="B599" s="60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4"/>
      <c r="R599" s="52"/>
      <c r="S599" s="52"/>
      <c r="T599" s="52"/>
      <c r="U599" s="52"/>
      <c r="V599" s="52"/>
      <c r="W599" s="52"/>
      <c r="X599" s="52"/>
    </row>
    <row r="600">
      <c r="A600" s="52"/>
      <c r="B600" s="60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4"/>
      <c r="R600" s="52"/>
      <c r="S600" s="52"/>
      <c r="T600" s="52"/>
      <c r="U600" s="52"/>
      <c r="V600" s="52"/>
      <c r="W600" s="52"/>
      <c r="X600" s="52"/>
    </row>
    <row r="601">
      <c r="A601" s="52"/>
      <c r="B601" s="60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4"/>
      <c r="R601" s="52"/>
      <c r="S601" s="52"/>
      <c r="T601" s="52"/>
      <c r="U601" s="52"/>
      <c r="V601" s="52"/>
      <c r="W601" s="52"/>
      <c r="X601" s="52"/>
    </row>
    <row r="602">
      <c r="A602" s="52"/>
      <c r="B602" s="60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4"/>
      <c r="R602" s="52"/>
      <c r="S602" s="52"/>
      <c r="T602" s="52"/>
      <c r="U602" s="52"/>
      <c r="V602" s="52"/>
      <c r="W602" s="52"/>
      <c r="X602" s="52"/>
    </row>
    <row r="603">
      <c r="A603" s="52"/>
      <c r="B603" s="60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4"/>
      <c r="R603" s="52"/>
      <c r="S603" s="52"/>
      <c r="T603" s="52"/>
      <c r="U603" s="52"/>
      <c r="V603" s="52"/>
      <c r="W603" s="52"/>
      <c r="X603" s="52"/>
    </row>
    <row r="604">
      <c r="A604" s="52"/>
      <c r="B604" s="60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4"/>
      <c r="R604" s="52"/>
      <c r="S604" s="52"/>
      <c r="T604" s="52"/>
      <c r="U604" s="52"/>
      <c r="V604" s="52"/>
      <c r="W604" s="52"/>
      <c r="X604" s="52"/>
    </row>
    <row r="605">
      <c r="A605" s="52"/>
      <c r="B605" s="60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4"/>
      <c r="R605" s="52"/>
      <c r="S605" s="52"/>
      <c r="T605" s="52"/>
      <c r="U605" s="52"/>
      <c r="V605" s="52"/>
      <c r="W605" s="52"/>
      <c r="X605" s="52"/>
    </row>
    <row r="606">
      <c r="A606" s="52"/>
      <c r="B606" s="60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4"/>
      <c r="R606" s="52"/>
      <c r="S606" s="52"/>
      <c r="T606" s="52"/>
      <c r="U606" s="52"/>
      <c r="V606" s="52"/>
      <c r="W606" s="52"/>
      <c r="X606" s="52"/>
    </row>
    <row r="607">
      <c r="A607" s="52"/>
      <c r="B607" s="60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4"/>
      <c r="R607" s="52"/>
      <c r="S607" s="52"/>
      <c r="T607" s="52"/>
      <c r="U607" s="52"/>
      <c r="V607" s="52"/>
      <c r="W607" s="52"/>
      <c r="X607" s="52"/>
    </row>
    <row r="608">
      <c r="A608" s="52"/>
      <c r="B608" s="60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4"/>
      <c r="R608" s="52"/>
      <c r="S608" s="52"/>
      <c r="T608" s="52"/>
      <c r="U608" s="52"/>
      <c r="V608" s="52"/>
      <c r="W608" s="52"/>
      <c r="X608" s="52"/>
    </row>
    <row r="609">
      <c r="A609" s="52"/>
      <c r="B609" s="60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4"/>
      <c r="R609" s="52"/>
      <c r="S609" s="52"/>
      <c r="T609" s="52"/>
      <c r="U609" s="52"/>
      <c r="V609" s="52"/>
      <c r="W609" s="52"/>
      <c r="X609" s="52"/>
    </row>
    <row r="610">
      <c r="A610" s="52"/>
      <c r="B610" s="60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4"/>
      <c r="R610" s="52"/>
      <c r="S610" s="52"/>
      <c r="T610" s="52"/>
      <c r="U610" s="52"/>
      <c r="V610" s="52"/>
      <c r="W610" s="52"/>
      <c r="X610" s="52"/>
    </row>
    <row r="611">
      <c r="A611" s="52"/>
      <c r="B611" s="60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4"/>
      <c r="R611" s="52"/>
      <c r="S611" s="52"/>
      <c r="T611" s="52"/>
      <c r="U611" s="52"/>
      <c r="V611" s="52"/>
      <c r="W611" s="52"/>
      <c r="X611" s="52"/>
    </row>
    <row r="612">
      <c r="A612" s="52"/>
      <c r="B612" s="60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4"/>
      <c r="R612" s="52"/>
      <c r="S612" s="52"/>
      <c r="T612" s="52"/>
      <c r="U612" s="52"/>
      <c r="V612" s="52"/>
      <c r="W612" s="52"/>
      <c r="X612" s="52"/>
    </row>
    <row r="613">
      <c r="A613" s="52"/>
      <c r="B613" s="60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4"/>
      <c r="R613" s="52"/>
      <c r="S613" s="52"/>
      <c r="T613" s="52"/>
      <c r="U613" s="52"/>
      <c r="V613" s="52"/>
      <c r="W613" s="52"/>
      <c r="X613" s="52"/>
    </row>
    <row r="614">
      <c r="A614" s="52"/>
      <c r="B614" s="60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4"/>
      <c r="R614" s="52"/>
      <c r="S614" s="52"/>
      <c r="T614" s="52"/>
      <c r="U614" s="52"/>
      <c r="V614" s="52"/>
      <c r="W614" s="52"/>
      <c r="X614" s="52"/>
    </row>
    <row r="615">
      <c r="A615" s="52"/>
      <c r="B615" s="60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4"/>
      <c r="R615" s="52"/>
      <c r="S615" s="52"/>
      <c r="T615" s="52"/>
      <c r="U615" s="52"/>
      <c r="V615" s="52"/>
      <c r="W615" s="52"/>
      <c r="X615" s="52"/>
    </row>
    <row r="616">
      <c r="A616" s="52"/>
      <c r="B616" s="60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4"/>
      <c r="R616" s="52"/>
      <c r="S616" s="52"/>
      <c r="T616" s="52"/>
      <c r="U616" s="52"/>
      <c r="V616" s="52"/>
      <c r="W616" s="52"/>
      <c r="X616" s="52"/>
    </row>
    <row r="617">
      <c r="A617" s="52"/>
      <c r="B617" s="60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4"/>
      <c r="R617" s="52"/>
      <c r="S617" s="52"/>
      <c r="T617" s="52"/>
      <c r="U617" s="52"/>
      <c r="V617" s="52"/>
      <c r="W617" s="52"/>
      <c r="X617" s="52"/>
    </row>
    <row r="618">
      <c r="A618" s="52"/>
      <c r="B618" s="60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4"/>
      <c r="R618" s="52"/>
      <c r="S618" s="52"/>
      <c r="T618" s="52"/>
      <c r="U618" s="52"/>
      <c r="V618" s="52"/>
      <c r="W618" s="52"/>
      <c r="X618" s="52"/>
    </row>
    <row r="619">
      <c r="A619" s="52"/>
      <c r="B619" s="60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4"/>
      <c r="R619" s="52"/>
      <c r="S619" s="52"/>
      <c r="T619" s="52"/>
      <c r="U619" s="52"/>
      <c r="V619" s="52"/>
      <c r="W619" s="52"/>
      <c r="X619" s="52"/>
    </row>
    <row r="620">
      <c r="A620" s="52"/>
      <c r="B620" s="60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4"/>
      <c r="R620" s="52"/>
      <c r="S620" s="52"/>
      <c r="T620" s="52"/>
      <c r="U620" s="52"/>
      <c r="V620" s="52"/>
      <c r="W620" s="52"/>
      <c r="X620" s="52"/>
    </row>
    <row r="621">
      <c r="A621" s="52"/>
      <c r="B621" s="60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4"/>
      <c r="R621" s="52"/>
      <c r="S621" s="52"/>
      <c r="T621" s="52"/>
      <c r="U621" s="52"/>
      <c r="V621" s="52"/>
      <c r="W621" s="52"/>
      <c r="X621" s="52"/>
    </row>
    <row r="622">
      <c r="A622" s="52"/>
      <c r="B622" s="60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4"/>
      <c r="R622" s="52"/>
      <c r="S622" s="52"/>
      <c r="T622" s="52"/>
      <c r="U622" s="52"/>
      <c r="V622" s="52"/>
      <c r="W622" s="52"/>
      <c r="X622" s="52"/>
    </row>
    <row r="623">
      <c r="A623" s="52"/>
      <c r="B623" s="60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4"/>
      <c r="R623" s="52"/>
      <c r="S623" s="52"/>
      <c r="T623" s="52"/>
      <c r="U623" s="52"/>
      <c r="V623" s="52"/>
      <c r="W623" s="52"/>
      <c r="X623" s="52"/>
    </row>
    <row r="624">
      <c r="A624" s="52"/>
      <c r="B624" s="60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4"/>
      <c r="R624" s="52"/>
      <c r="S624" s="52"/>
      <c r="T624" s="52"/>
      <c r="U624" s="52"/>
      <c r="V624" s="52"/>
      <c r="W624" s="52"/>
      <c r="X624" s="52"/>
    </row>
    <row r="625">
      <c r="A625" s="52"/>
      <c r="B625" s="60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4"/>
      <c r="R625" s="52"/>
      <c r="S625" s="52"/>
      <c r="T625" s="52"/>
      <c r="U625" s="52"/>
      <c r="V625" s="52"/>
      <c r="W625" s="52"/>
      <c r="X625" s="52"/>
    </row>
    <row r="626">
      <c r="A626" s="52"/>
      <c r="B626" s="60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4"/>
      <c r="R626" s="52"/>
      <c r="S626" s="52"/>
      <c r="T626" s="52"/>
      <c r="U626" s="52"/>
      <c r="V626" s="52"/>
      <c r="W626" s="52"/>
      <c r="X626" s="52"/>
    </row>
    <row r="627">
      <c r="A627" s="52"/>
      <c r="B627" s="60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4"/>
      <c r="R627" s="52"/>
      <c r="S627" s="52"/>
      <c r="T627" s="52"/>
      <c r="U627" s="52"/>
      <c r="V627" s="52"/>
      <c r="W627" s="52"/>
      <c r="X627" s="52"/>
    </row>
    <row r="628">
      <c r="A628" s="52"/>
      <c r="B628" s="60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4"/>
      <c r="R628" s="52"/>
      <c r="S628" s="52"/>
      <c r="T628" s="52"/>
      <c r="U628" s="52"/>
      <c r="V628" s="52"/>
      <c r="W628" s="52"/>
      <c r="X628" s="52"/>
    </row>
    <row r="629">
      <c r="A629" s="52"/>
      <c r="B629" s="60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4"/>
      <c r="R629" s="52"/>
      <c r="S629" s="52"/>
      <c r="T629" s="52"/>
      <c r="U629" s="52"/>
      <c r="V629" s="52"/>
      <c r="W629" s="52"/>
      <c r="X629" s="52"/>
    </row>
    <row r="630">
      <c r="A630" s="52"/>
      <c r="B630" s="60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4"/>
      <c r="R630" s="52"/>
      <c r="S630" s="52"/>
      <c r="T630" s="52"/>
      <c r="U630" s="52"/>
      <c r="V630" s="52"/>
      <c r="W630" s="52"/>
      <c r="X630" s="52"/>
    </row>
    <row r="631">
      <c r="A631" s="52"/>
      <c r="B631" s="60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4"/>
      <c r="R631" s="52"/>
      <c r="S631" s="52"/>
      <c r="T631" s="52"/>
      <c r="U631" s="52"/>
      <c r="V631" s="52"/>
      <c r="W631" s="52"/>
      <c r="X631" s="52"/>
    </row>
    <row r="632">
      <c r="A632" s="52"/>
      <c r="B632" s="60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4"/>
      <c r="R632" s="52"/>
      <c r="S632" s="52"/>
      <c r="T632" s="52"/>
      <c r="U632" s="52"/>
      <c r="V632" s="52"/>
      <c r="W632" s="52"/>
      <c r="X632" s="52"/>
    </row>
    <row r="633">
      <c r="A633" s="52"/>
      <c r="B633" s="60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4"/>
      <c r="R633" s="52"/>
      <c r="S633" s="52"/>
      <c r="T633" s="52"/>
      <c r="U633" s="52"/>
      <c r="V633" s="52"/>
      <c r="W633" s="52"/>
      <c r="X633" s="52"/>
    </row>
    <row r="634">
      <c r="A634" s="52"/>
      <c r="B634" s="60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4"/>
      <c r="R634" s="52"/>
      <c r="S634" s="52"/>
      <c r="T634" s="52"/>
      <c r="U634" s="52"/>
      <c r="V634" s="52"/>
      <c r="W634" s="52"/>
      <c r="X634" s="52"/>
    </row>
    <row r="635">
      <c r="A635" s="52"/>
      <c r="B635" s="60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4"/>
      <c r="R635" s="52"/>
      <c r="S635" s="52"/>
      <c r="T635" s="52"/>
      <c r="U635" s="52"/>
      <c r="V635" s="52"/>
      <c r="W635" s="52"/>
      <c r="X635" s="52"/>
    </row>
    <row r="636">
      <c r="A636" s="52"/>
      <c r="B636" s="60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4"/>
      <c r="R636" s="52"/>
      <c r="S636" s="52"/>
      <c r="T636" s="52"/>
      <c r="U636" s="52"/>
      <c r="V636" s="52"/>
      <c r="W636" s="52"/>
      <c r="X636" s="52"/>
    </row>
    <row r="637">
      <c r="A637" s="52"/>
      <c r="B637" s="60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4"/>
      <c r="R637" s="52"/>
      <c r="S637" s="52"/>
      <c r="T637" s="52"/>
      <c r="U637" s="52"/>
      <c r="V637" s="52"/>
      <c r="W637" s="52"/>
      <c r="X637" s="52"/>
    </row>
    <row r="638">
      <c r="A638" s="52"/>
      <c r="B638" s="60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4"/>
      <c r="R638" s="52"/>
      <c r="S638" s="52"/>
      <c r="T638" s="52"/>
      <c r="U638" s="52"/>
      <c r="V638" s="52"/>
      <c r="W638" s="52"/>
      <c r="X638" s="52"/>
    </row>
    <row r="639">
      <c r="A639" s="52"/>
      <c r="B639" s="60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4"/>
      <c r="R639" s="52"/>
      <c r="S639" s="52"/>
      <c r="T639" s="52"/>
      <c r="U639" s="52"/>
      <c r="V639" s="52"/>
      <c r="W639" s="52"/>
      <c r="X639" s="52"/>
    </row>
    <row r="640">
      <c r="A640" s="52"/>
      <c r="B640" s="60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4"/>
      <c r="R640" s="52"/>
      <c r="S640" s="52"/>
      <c r="T640" s="52"/>
      <c r="U640" s="52"/>
      <c r="V640" s="52"/>
      <c r="W640" s="52"/>
      <c r="X640" s="52"/>
    </row>
    <row r="641">
      <c r="A641" s="52"/>
      <c r="B641" s="60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4"/>
      <c r="R641" s="52"/>
      <c r="S641" s="52"/>
      <c r="T641" s="52"/>
      <c r="U641" s="52"/>
      <c r="V641" s="52"/>
      <c r="W641" s="52"/>
      <c r="X641" s="52"/>
    </row>
    <row r="642">
      <c r="A642" s="52"/>
      <c r="B642" s="60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4"/>
      <c r="R642" s="52"/>
      <c r="S642" s="52"/>
      <c r="T642" s="52"/>
      <c r="U642" s="52"/>
      <c r="V642" s="52"/>
      <c r="W642" s="52"/>
      <c r="X642" s="52"/>
    </row>
    <row r="643">
      <c r="A643" s="52"/>
      <c r="B643" s="60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4"/>
      <c r="R643" s="52"/>
      <c r="S643" s="52"/>
      <c r="T643" s="52"/>
      <c r="U643" s="52"/>
      <c r="V643" s="52"/>
      <c r="W643" s="52"/>
      <c r="X643" s="52"/>
    </row>
    <row r="644">
      <c r="A644" s="52"/>
      <c r="B644" s="60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4"/>
      <c r="R644" s="52"/>
      <c r="S644" s="52"/>
      <c r="T644" s="52"/>
      <c r="U644" s="52"/>
      <c r="V644" s="52"/>
      <c r="W644" s="52"/>
      <c r="X644" s="52"/>
    </row>
    <row r="645">
      <c r="A645" s="52"/>
      <c r="B645" s="60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4"/>
      <c r="R645" s="52"/>
      <c r="S645" s="52"/>
      <c r="T645" s="52"/>
      <c r="U645" s="52"/>
      <c r="V645" s="52"/>
      <c r="W645" s="52"/>
      <c r="X645" s="52"/>
    </row>
    <row r="646">
      <c r="A646" s="52"/>
      <c r="B646" s="60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4"/>
      <c r="R646" s="52"/>
      <c r="S646" s="52"/>
      <c r="T646" s="52"/>
      <c r="U646" s="52"/>
      <c r="V646" s="52"/>
      <c r="W646" s="52"/>
      <c r="X646" s="52"/>
    </row>
    <row r="647">
      <c r="A647" s="52"/>
      <c r="B647" s="60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4"/>
      <c r="R647" s="52"/>
      <c r="S647" s="52"/>
      <c r="T647" s="52"/>
      <c r="U647" s="52"/>
      <c r="V647" s="52"/>
      <c r="W647" s="52"/>
      <c r="X647" s="52"/>
    </row>
    <row r="648">
      <c r="A648" s="52"/>
      <c r="B648" s="60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4"/>
      <c r="R648" s="52"/>
      <c r="S648" s="52"/>
      <c r="T648" s="52"/>
      <c r="U648" s="52"/>
      <c r="V648" s="52"/>
      <c r="W648" s="52"/>
      <c r="X648" s="52"/>
    </row>
    <row r="649">
      <c r="A649" s="52"/>
      <c r="B649" s="60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4"/>
      <c r="R649" s="52"/>
      <c r="S649" s="52"/>
      <c r="T649" s="52"/>
      <c r="U649" s="52"/>
      <c r="V649" s="52"/>
      <c r="W649" s="52"/>
      <c r="X649" s="52"/>
    </row>
    <row r="650">
      <c r="A650" s="52"/>
      <c r="B650" s="60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4"/>
      <c r="R650" s="52"/>
      <c r="S650" s="52"/>
      <c r="T650" s="52"/>
      <c r="U650" s="52"/>
      <c r="V650" s="52"/>
      <c r="W650" s="52"/>
      <c r="X650" s="52"/>
    </row>
    <row r="651">
      <c r="A651" s="52"/>
      <c r="B651" s="60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4"/>
      <c r="R651" s="52"/>
      <c r="S651" s="52"/>
      <c r="T651" s="52"/>
      <c r="U651" s="52"/>
      <c r="V651" s="52"/>
      <c r="W651" s="52"/>
      <c r="X651" s="52"/>
    </row>
    <row r="652">
      <c r="A652" s="52"/>
      <c r="B652" s="60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4"/>
      <c r="R652" s="52"/>
      <c r="S652" s="52"/>
      <c r="T652" s="52"/>
      <c r="U652" s="52"/>
      <c r="V652" s="52"/>
      <c r="W652" s="52"/>
      <c r="X652" s="52"/>
    </row>
    <row r="653">
      <c r="A653" s="52"/>
      <c r="B653" s="60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4"/>
      <c r="R653" s="52"/>
      <c r="S653" s="52"/>
      <c r="T653" s="52"/>
      <c r="U653" s="52"/>
      <c r="V653" s="52"/>
      <c r="W653" s="52"/>
      <c r="X653" s="52"/>
    </row>
    <row r="654">
      <c r="A654" s="52"/>
      <c r="B654" s="60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4"/>
      <c r="R654" s="52"/>
      <c r="S654" s="52"/>
      <c r="T654" s="52"/>
      <c r="U654" s="52"/>
      <c r="V654" s="52"/>
      <c r="W654" s="52"/>
      <c r="X654" s="52"/>
    </row>
    <row r="655">
      <c r="A655" s="52"/>
      <c r="B655" s="60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4"/>
      <c r="R655" s="52"/>
      <c r="S655" s="52"/>
      <c r="T655" s="52"/>
      <c r="U655" s="52"/>
      <c r="V655" s="52"/>
      <c r="W655" s="52"/>
      <c r="X655" s="52"/>
    </row>
    <row r="656">
      <c r="A656" s="52"/>
      <c r="B656" s="60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4"/>
      <c r="R656" s="52"/>
      <c r="S656" s="52"/>
      <c r="T656" s="52"/>
      <c r="U656" s="52"/>
      <c r="V656" s="52"/>
      <c r="W656" s="52"/>
      <c r="X656" s="52"/>
    </row>
    <row r="657">
      <c r="A657" s="52"/>
      <c r="B657" s="60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4"/>
      <c r="R657" s="52"/>
      <c r="S657" s="52"/>
      <c r="T657" s="52"/>
      <c r="U657" s="52"/>
      <c r="V657" s="52"/>
      <c r="W657" s="52"/>
      <c r="X657" s="52"/>
    </row>
    <row r="658">
      <c r="A658" s="52"/>
      <c r="B658" s="60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4"/>
      <c r="R658" s="52"/>
      <c r="S658" s="52"/>
      <c r="T658" s="52"/>
      <c r="U658" s="52"/>
      <c r="V658" s="52"/>
      <c r="W658" s="52"/>
      <c r="X658" s="52"/>
    </row>
    <row r="659">
      <c r="A659" s="52"/>
      <c r="B659" s="60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4"/>
      <c r="R659" s="52"/>
      <c r="S659" s="52"/>
      <c r="T659" s="52"/>
      <c r="U659" s="52"/>
      <c r="V659" s="52"/>
      <c r="W659" s="52"/>
      <c r="X659" s="52"/>
    </row>
    <row r="660">
      <c r="A660" s="52"/>
      <c r="B660" s="60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4"/>
      <c r="R660" s="52"/>
      <c r="S660" s="52"/>
      <c r="T660" s="52"/>
      <c r="U660" s="52"/>
      <c r="V660" s="52"/>
      <c r="W660" s="52"/>
      <c r="X660" s="52"/>
    </row>
    <row r="661">
      <c r="A661" s="52"/>
      <c r="B661" s="60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4"/>
      <c r="R661" s="52"/>
      <c r="S661" s="52"/>
      <c r="T661" s="52"/>
      <c r="U661" s="52"/>
      <c r="V661" s="52"/>
      <c r="W661" s="52"/>
      <c r="X661" s="52"/>
    </row>
    <row r="662">
      <c r="A662" s="52"/>
      <c r="B662" s="60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4"/>
      <c r="R662" s="52"/>
      <c r="S662" s="52"/>
      <c r="T662" s="52"/>
      <c r="U662" s="52"/>
      <c r="V662" s="52"/>
      <c r="W662" s="52"/>
      <c r="X662" s="52"/>
    </row>
    <row r="663">
      <c r="A663" s="52"/>
      <c r="B663" s="60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4"/>
      <c r="R663" s="52"/>
      <c r="S663" s="52"/>
      <c r="T663" s="52"/>
      <c r="U663" s="52"/>
      <c r="V663" s="52"/>
      <c r="W663" s="52"/>
      <c r="X663" s="52"/>
    </row>
    <row r="664">
      <c r="A664" s="52"/>
      <c r="B664" s="60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4"/>
      <c r="R664" s="52"/>
      <c r="S664" s="52"/>
      <c r="T664" s="52"/>
      <c r="U664" s="52"/>
      <c r="V664" s="52"/>
      <c r="W664" s="52"/>
      <c r="X664" s="52"/>
    </row>
    <row r="665">
      <c r="A665" s="52"/>
      <c r="B665" s="60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4"/>
      <c r="R665" s="52"/>
      <c r="S665" s="52"/>
      <c r="T665" s="52"/>
      <c r="U665" s="52"/>
      <c r="V665" s="52"/>
      <c r="W665" s="52"/>
      <c r="X665" s="52"/>
    </row>
    <row r="666">
      <c r="A666" s="52"/>
      <c r="B666" s="60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4"/>
      <c r="R666" s="52"/>
      <c r="S666" s="52"/>
      <c r="T666" s="52"/>
      <c r="U666" s="52"/>
      <c r="V666" s="52"/>
      <c r="W666" s="52"/>
      <c r="X666" s="52"/>
    </row>
    <row r="667">
      <c r="A667" s="52"/>
      <c r="B667" s="60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4"/>
      <c r="R667" s="52"/>
      <c r="S667" s="52"/>
      <c r="T667" s="52"/>
      <c r="U667" s="52"/>
      <c r="V667" s="52"/>
      <c r="W667" s="52"/>
      <c r="X667" s="52"/>
    </row>
    <row r="668">
      <c r="A668" s="52"/>
      <c r="B668" s="60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4"/>
      <c r="R668" s="52"/>
      <c r="S668" s="52"/>
      <c r="T668" s="52"/>
      <c r="U668" s="52"/>
      <c r="V668" s="52"/>
      <c r="W668" s="52"/>
      <c r="X668" s="52"/>
    </row>
    <row r="669">
      <c r="A669" s="52"/>
      <c r="B669" s="60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4"/>
      <c r="R669" s="52"/>
      <c r="S669" s="52"/>
      <c r="T669" s="52"/>
      <c r="U669" s="52"/>
      <c r="V669" s="52"/>
      <c r="W669" s="52"/>
      <c r="X669" s="52"/>
    </row>
    <row r="670">
      <c r="A670" s="52"/>
      <c r="B670" s="60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4"/>
      <c r="R670" s="52"/>
      <c r="S670" s="52"/>
      <c r="T670" s="52"/>
      <c r="U670" s="52"/>
      <c r="V670" s="52"/>
      <c r="W670" s="52"/>
      <c r="X670" s="52"/>
    </row>
    <row r="671">
      <c r="A671" s="52"/>
      <c r="B671" s="60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4"/>
      <c r="R671" s="52"/>
      <c r="S671" s="52"/>
      <c r="T671" s="52"/>
      <c r="U671" s="52"/>
      <c r="V671" s="52"/>
      <c r="W671" s="52"/>
      <c r="X671" s="52"/>
    </row>
    <row r="672">
      <c r="A672" s="52"/>
      <c r="B672" s="60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4"/>
      <c r="R672" s="52"/>
      <c r="S672" s="52"/>
      <c r="T672" s="52"/>
      <c r="U672" s="52"/>
      <c r="V672" s="52"/>
      <c r="W672" s="52"/>
      <c r="X672" s="52"/>
    </row>
    <row r="673">
      <c r="A673" s="52"/>
      <c r="B673" s="60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4"/>
      <c r="R673" s="52"/>
      <c r="S673" s="52"/>
      <c r="T673" s="52"/>
      <c r="U673" s="52"/>
      <c r="V673" s="52"/>
      <c r="W673" s="52"/>
      <c r="X673" s="52"/>
    </row>
    <row r="674">
      <c r="A674" s="52"/>
      <c r="B674" s="60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4"/>
      <c r="R674" s="52"/>
      <c r="S674" s="52"/>
      <c r="T674" s="52"/>
      <c r="U674" s="52"/>
      <c r="V674" s="52"/>
      <c r="W674" s="52"/>
      <c r="X674" s="52"/>
    </row>
    <row r="675">
      <c r="A675" s="52"/>
      <c r="B675" s="60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4"/>
      <c r="R675" s="52"/>
      <c r="S675" s="52"/>
      <c r="T675" s="52"/>
      <c r="U675" s="52"/>
      <c r="V675" s="52"/>
      <c r="W675" s="52"/>
      <c r="X675" s="52"/>
    </row>
    <row r="676">
      <c r="A676" s="52"/>
      <c r="B676" s="60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4"/>
      <c r="R676" s="52"/>
      <c r="S676" s="52"/>
      <c r="T676" s="52"/>
      <c r="U676" s="52"/>
      <c r="V676" s="52"/>
      <c r="W676" s="52"/>
      <c r="X676" s="52"/>
    </row>
    <row r="677">
      <c r="A677" s="52"/>
      <c r="B677" s="60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4"/>
      <c r="R677" s="52"/>
      <c r="S677" s="52"/>
      <c r="T677" s="52"/>
      <c r="U677" s="52"/>
      <c r="V677" s="52"/>
      <c r="W677" s="52"/>
      <c r="X677" s="52"/>
    </row>
    <row r="678">
      <c r="A678" s="52"/>
      <c r="B678" s="60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4"/>
      <c r="R678" s="52"/>
      <c r="S678" s="52"/>
      <c r="T678" s="52"/>
      <c r="U678" s="52"/>
      <c r="V678" s="52"/>
      <c r="W678" s="52"/>
      <c r="X678" s="52"/>
    </row>
    <row r="679">
      <c r="A679" s="52"/>
      <c r="B679" s="60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4"/>
      <c r="R679" s="52"/>
      <c r="S679" s="52"/>
      <c r="T679" s="52"/>
      <c r="U679" s="52"/>
      <c r="V679" s="52"/>
      <c r="W679" s="52"/>
      <c r="X679" s="52"/>
    </row>
    <row r="680">
      <c r="A680" s="52"/>
      <c r="B680" s="60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4"/>
      <c r="R680" s="52"/>
      <c r="S680" s="52"/>
      <c r="T680" s="52"/>
      <c r="U680" s="52"/>
      <c r="V680" s="52"/>
      <c r="W680" s="52"/>
      <c r="X680" s="52"/>
    </row>
    <row r="681">
      <c r="A681" s="52"/>
      <c r="B681" s="60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4"/>
      <c r="R681" s="52"/>
      <c r="S681" s="52"/>
      <c r="T681" s="52"/>
      <c r="U681" s="52"/>
      <c r="V681" s="52"/>
      <c r="W681" s="52"/>
      <c r="X681" s="52"/>
    </row>
    <row r="682">
      <c r="A682" s="52"/>
      <c r="B682" s="60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4"/>
      <c r="R682" s="52"/>
      <c r="S682" s="52"/>
      <c r="T682" s="52"/>
      <c r="U682" s="52"/>
      <c r="V682" s="52"/>
      <c r="W682" s="52"/>
      <c r="X682" s="52"/>
    </row>
    <row r="683">
      <c r="A683" s="52"/>
      <c r="B683" s="60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4"/>
      <c r="R683" s="52"/>
      <c r="S683" s="52"/>
      <c r="T683" s="52"/>
      <c r="U683" s="52"/>
      <c r="V683" s="52"/>
      <c r="W683" s="52"/>
      <c r="X683" s="52"/>
    </row>
    <row r="684">
      <c r="A684" s="52"/>
      <c r="B684" s="60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4"/>
      <c r="R684" s="52"/>
      <c r="S684" s="52"/>
      <c r="T684" s="52"/>
      <c r="U684" s="52"/>
      <c r="V684" s="52"/>
      <c r="W684" s="52"/>
      <c r="X684" s="52"/>
    </row>
    <row r="685">
      <c r="A685" s="52"/>
      <c r="B685" s="60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4"/>
      <c r="R685" s="52"/>
      <c r="S685" s="52"/>
      <c r="T685" s="52"/>
      <c r="U685" s="52"/>
      <c r="V685" s="52"/>
      <c r="W685" s="52"/>
      <c r="X685" s="52"/>
    </row>
    <row r="686">
      <c r="A686" s="52"/>
      <c r="B686" s="60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4"/>
      <c r="R686" s="52"/>
      <c r="S686" s="52"/>
      <c r="T686" s="52"/>
      <c r="U686" s="52"/>
      <c r="V686" s="52"/>
      <c r="W686" s="52"/>
      <c r="X686" s="52"/>
    </row>
    <row r="687">
      <c r="A687" s="52"/>
      <c r="B687" s="60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4"/>
      <c r="R687" s="52"/>
      <c r="S687" s="52"/>
      <c r="T687" s="52"/>
      <c r="U687" s="52"/>
      <c r="V687" s="52"/>
      <c r="W687" s="52"/>
      <c r="X687" s="52"/>
    </row>
    <row r="688">
      <c r="A688" s="52"/>
      <c r="B688" s="60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4"/>
      <c r="R688" s="52"/>
      <c r="S688" s="52"/>
      <c r="T688" s="52"/>
      <c r="U688" s="52"/>
      <c r="V688" s="52"/>
      <c r="W688" s="52"/>
      <c r="X688" s="52"/>
    </row>
    <row r="689">
      <c r="A689" s="52"/>
      <c r="B689" s="60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4"/>
      <c r="R689" s="52"/>
      <c r="S689" s="52"/>
      <c r="T689" s="52"/>
      <c r="U689" s="52"/>
      <c r="V689" s="52"/>
      <c r="W689" s="52"/>
      <c r="X689" s="52"/>
    </row>
    <row r="690">
      <c r="A690" s="52"/>
      <c r="B690" s="60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4"/>
      <c r="R690" s="52"/>
      <c r="S690" s="52"/>
      <c r="T690" s="52"/>
      <c r="U690" s="52"/>
      <c r="V690" s="52"/>
      <c r="W690" s="52"/>
      <c r="X690" s="52"/>
    </row>
    <row r="691">
      <c r="A691" s="52"/>
      <c r="B691" s="60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4"/>
      <c r="R691" s="52"/>
      <c r="S691" s="52"/>
      <c r="T691" s="52"/>
      <c r="U691" s="52"/>
      <c r="V691" s="52"/>
      <c r="W691" s="52"/>
      <c r="X691" s="52"/>
    </row>
    <row r="692">
      <c r="A692" s="52"/>
      <c r="B692" s="60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4"/>
      <c r="R692" s="52"/>
      <c r="S692" s="52"/>
      <c r="T692" s="52"/>
      <c r="U692" s="52"/>
      <c r="V692" s="52"/>
      <c r="W692" s="52"/>
      <c r="X692" s="52"/>
    </row>
    <row r="693">
      <c r="A693" s="52"/>
      <c r="B693" s="60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4"/>
      <c r="R693" s="52"/>
      <c r="S693" s="52"/>
      <c r="T693" s="52"/>
      <c r="U693" s="52"/>
      <c r="V693" s="52"/>
      <c r="W693" s="52"/>
      <c r="X693" s="52"/>
    </row>
    <row r="694">
      <c r="A694" s="52"/>
      <c r="B694" s="60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4"/>
      <c r="R694" s="52"/>
      <c r="S694" s="52"/>
      <c r="T694" s="52"/>
      <c r="U694" s="52"/>
      <c r="V694" s="52"/>
      <c r="W694" s="52"/>
      <c r="X694" s="52"/>
    </row>
    <row r="695">
      <c r="A695" s="52"/>
      <c r="B695" s="60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4"/>
      <c r="R695" s="52"/>
      <c r="S695" s="52"/>
      <c r="T695" s="52"/>
      <c r="U695" s="52"/>
      <c r="V695" s="52"/>
      <c r="W695" s="52"/>
      <c r="X695" s="52"/>
    </row>
    <row r="696">
      <c r="A696" s="52"/>
      <c r="B696" s="60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4"/>
      <c r="R696" s="52"/>
      <c r="S696" s="52"/>
      <c r="T696" s="52"/>
      <c r="U696" s="52"/>
      <c r="V696" s="52"/>
      <c r="W696" s="52"/>
      <c r="X696" s="52"/>
    </row>
    <row r="697">
      <c r="A697" s="52"/>
      <c r="B697" s="60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4"/>
      <c r="R697" s="52"/>
      <c r="S697" s="52"/>
      <c r="T697" s="52"/>
      <c r="U697" s="52"/>
      <c r="V697" s="52"/>
      <c r="W697" s="52"/>
      <c r="X697" s="52"/>
    </row>
    <row r="698">
      <c r="A698" s="52"/>
      <c r="B698" s="60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4"/>
      <c r="R698" s="52"/>
      <c r="S698" s="52"/>
      <c r="T698" s="52"/>
      <c r="U698" s="52"/>
      <c r="V698" s="52"/>
      <c r="W698" s="52"/>
      <c r="X698" s="52"/>
    </row>
    <row r="699">
      <c r="A699" s="52"/>
      <c r="B699" s="60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4"/>
      <c r="R699" s="52"/>
      <c r="S699" s="52"/>
      <c r="T699" s="52"/>
      <c r="U699" s="52"/>
      <c r="V699" s="52"/>
      <c r="W699" s="52"/>
      <c r="X699" s="52"/>
    </row>
    <row r="700">
      <c r="A700" s="52"/>
      <c r="B700" s="60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4"/>
      <c r="R700" s="52"/>
      <c r="S700" s="52"/>
      <c r="T700" s="52"/>
      <c r="U700" s="52"/>
      <c r="V700" s="52"/>
      <c r="W700" s="52"/>
      <c r="X700" s="52"/>
    </row>
    <row r="701">
      <c r="A701" s="52"/>
      <c r="B701" s="60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4"/>
      <c r="R701" s="52"/>
      <c r="S701" s="52"/>
      <c r="T701" s="52"/>
      <c r="U701" s="52"/>
      <c r="V701" s="52"/>
      <c r="W701" s="52"/>
      <c r="X701" s="52"/>
    </row>
    <row r="702">
      <c r="A702" s="52"/>
      <c r="B702" s="60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4"/>
      <c r="R702" s="52"/>
      <c r="S702" s="52"/>
      <c r="T702" s="52"/>
      <c r="U702" s="52"/>
      <c r="V702" s="52"/>
      <c r="W702" s="52"/>
      <c r="X702" s="52"/>
    </row>
    <row r="703">
      <c r="A703" s="52"/>
      <c r="B703" s="60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4"/>
      <c r="R703" s="52"/>
      <c r="S703" s="52"/>
      <c r="T703" s="52"/>
      <c r="U703" s="52"/>
      <c r="V703" s="52"/>
      <c r="W703" s="52"/>
      <c r="X703" s="52"/>
    </row>
    <row r="704">
      <c r="A704" s="52"/>
      <c r="B704" s="60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4"/>
      <c r="R704" s="52"/>
      <c r="S704" s="52"/>
      <c r="T704" s="52"/>
      <c r="U704" s="52"/>
      <c r="V704" s="52"/>
      <c r="W704" s="52"/>
      <c r="X704" s="52"/>
    </row>
    <row r="705">
      <c r="A705" s="52"/>
      <c r="B705" s="60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4"/>
      <c r="R705" s="52"/>
      <c r="S705" s="52"/>
      <c r="T705" s="52"/>
      <c r="U705" s="52"/>
      <c r="V705" s="52"/>
      <c r="W705" s="52"/>
      <c r="X705" s="52"/>
    </row>
    <row r="706">
      <c r="A706" s="52"/>
      <c r="B706" s="60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4"/>
      <c r="R706" s="52"/>
      <c r="S706" s="52"/>
      <c r="T706" s="52"/>
      <c r="U706" s="52"/>
      <c r="V706" s="52"/>
      <c r="W706" s="52"/>
      <c r="X706" s="52"/>
    </row>
    <row r="707">
      <c r="A707" s="52"/>
      <c r="B707" s="60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4"/>
      <c r="R707" s="52"/>
      <c r="S707" s="52"/>
      <c r="T707" s="52"/>
      <c r="U707" s="52"/>
      <c r="V707" s="52"/>
      <c r="W707" s="52"/>
      <c r="X707" s="52"/>
    </row>
    <row r="708">
      <c r="A708" s="52"/>
      <c r="B708" s="60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4"/>
      <c r="R708" s="52"/>
      <c r="S708" s="52"/>
      <c r="T708" s="52"/>
      <c r="U708" s="52"/>
      <c r="V708" s="52"/>
      <c r="W708" s="52"/>
      <c r="X708" s="52"/>
    </row>
    <row r="709">
      <c r="A709" s="52"/>
      <c r="B709" s="60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4"/>
      <c r="R709" s="52"/>
      <c r="S709" s="52"/>
      <c r="T709" s="52"/>
      <c r="U709" s="52"/>
      <c r="V709" s="52"/>
      <c r="W709" s="52"/>
      <c r="X709" s="52"/>
    </row>
    <row r="710">
      <c r="A710" s="52"/>
      <c r="B710" s="60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4"/>
      <c r="R710" s="52"/>
      <c r="S710" s="52"/>
      <c r="T710" s="52"/>
      <c r="U710" s="52"/>
      <c r="V710" s="52"/>
      <c r="W710" s="52"/>
      <c r="X710" s="52"/>
    </row>
    <row r="711">
      <c r="A711" s="52"/>
      <c r="B711" s="60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4"/>
      <c r="R711" s="52"/>
      <c r="S711" s="52"/>
      <c r="T711" s="52"/>
      <c r="U711" s="52"/>
      <c r="V711" s="52"/>
      <c r="W711" s="52"/>
      <c r="X711" s="52"/>
    </row>
    <row r="712">
      <c r="A712" s="52"/>
      <c r="B712" s="60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4"/>
      <c r="R712" s="52"/>
      <c r="S712" s="52"/>
      <c r="T712" s="52"/>
      <c r="U712" s="52"/>
      <c r="V712" s="52"/>
      <c r="W712" s="52"/>
      <c r="X712" s="52"/>
    </row>
    <row r="713">
      <c r="A713" s="52"/>
      <c r="B713" s="60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4"/>
      <c r="R713" s="52"/>
      <c r="S713" s="52"/>
      <c r="T713" s="52"/>
      <c r="U713" s="52"/>
      <c r="V713" s="52"/>
      <c r="W713" s="52"/>
      <c r="X713" s="52"/>
    </row>
    <row r="714">
      <c r="A714" s="52"/>
      <c r="B714" s="60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4"/>
      <c r="R714" s="52"/>
      <c r="S714" s="52"/>
      <c r="T714" s="52"/>
      <c r="U714" s="52"/>
      <c r="V714" s="52"/>
      <c r="W714" s="52"/>
      <c r="X714" s="52"/>
    </row>
    <row r="715">
      <c r="A715" s="52"/>
      <c r="B715" s="60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4"/>
      <c r="R715" s="52"/>
      <c r="S715" s="52"/>
      <c r="T715" s="52"/>
      <c r="U715" s="52"/>
      <c r="V715" s="52"/>
      <c r="W715" s="52"/>
      <c r="X715" s="52"/>
    </row>
    <row r="716">
      <c r="A716" s="52"/>
      <c r="B716" s="60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4"/>
      <c r="R716" s="52"/>
      <c r="S716" s="52"/>
      <c r="T716" s="52"/>
      <c r="U716" s="52"/>
      <c r="V716" s="52"/>
      <c r="W716" s="52"/>
      <c r="X716" s="52"/>
    </row>
    <row r="717">
      <c r="A717" s="52"/>
      <c r="B717" s="60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4"/>
      <c r="R717" s="52"/>
      <c r="S717" s="52"/>
      <c r="T717" s="52"/>
      <c r="U717" s="52"/>
      <c r="V717" s="52"/>
      <c r="W717" s="52"/>
      <c r="X717" s="52"/>
    </row>
    <row r="718">
      <c r="A718" s="52"/>
      <c r="B718" s="60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4"/>
      <c r="R718" s="52"/>
      <c r="S718" s="52"/>
      <c r="T718" s="52"/>
      <c r="U718" s="52"/>
      <c r="V718" s="52"/>
      <c r="W718" s="52"/>
      <c r="X718" s="52"/>
    </row>
    <row r="719">
      <c r="A719" s="52"/>
      <c r="B719" s="60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4"/>
      <c r="R719" s="52"/>
      <c r="S719" s="52"/>
      <c r="T719" s="52"/>
      <c r="U719" s="52"/>
      <c r="V719" s="52"/>
      <c r="W719" s="52"/>
      <c r="X719" s="52"/>
    </row>
    <row r="720">
      <c r="A720" s="52"/>
      <c r="B720" s="60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4"/>
      <c r="R720" s="52"/>
      <c r="S720" s="52"/>
      <c r="T720" s="52"/>
      <c r="U720" s="52"/>
      <c r="V720" s="52"/>
      <c r="W720" s="52"/>
      <c r="X720" s="52"/>
    </row>
    <row r="721">
      <c r="A721" s="52"/>
      <c r="B721" s="60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4"/>
      <c r="R721" s="52"/>
      <c r="S721" s="52"/>
      <c r="T721" s="52"/>
      <c r="U721" s="52"/>
      <c r="V721" s="52"/>
      <c r="W721" s="52"/>
      <c r="X721" s="52"/>
    </row>
    <row r="722">
      <c r="A722" s="52"/>
      <c r="B722" s="60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4"/>
      <c r="R722" s="52"/>
      <c r="S722" s="52"/>
      <c r="T722" s="52"/>
      <c r="U722" s="52"/>
      <c r="V722" s="52"/>
      <c r="W722" s="52"/>
      <c r="X722" s="52"/>
    </row>
    <row r="723">
      <c r="A723" s="52"/>
      <c r="B723" s="60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4"/>
      <c r="R723" s="52"/>
      <c r="S723" s="52"/>
      <c r="T723" s="52"/>
      <c r="U723" s="52"/>
      <c r="V723" s="52"/>
      <c r="W723" s="52"/>
      <c r="X723" s="52"/>
    </row>
    <row r="724">
      <c r="A724" s="52"/>
      <c r="B724" s="60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4"/>
      <c r="R724" s="52"/>
      <c r="S724" s="52"/>
      <c r="T724" s="52"/>
      <c r="U724" s="52"/>
      <c r="V724" s="52"/>
      <c r="W724" s="52"/>
      <c r="X724" s="52"/>
    </row>
    <row r="725">
      <c r="A725" s="52"/>
      <c r="B725" s="60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4"/>
      <c r="R725" s="52"/>
      <c r="S725" s="52"/>
      <c r="T725" s="52"/>
      <c r="U725" s="52"/>
      <c r="V725" s="52"/>
      <c r="W725" s="52"/>
      <c r="X725" s="52"/>
    </row>
    <row r="726">
      <c r="A726" s="52"/>
      <c r="B726" s="60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4"/>
      <c r="R726" s="52"/>
      <c r="S726" s="52"/>
      <c r="T726" s="52"/>
      <c r="U726" s="52"/>
      <c r="V726" s="52"/>
      <c r="W726" s="52"/>
      <c r="X726" s="52"/>
    </row>
    <row r="727">
      <c r="A727" s="52"/>
      <c r="B727" s="60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4"/>
      <c r="R727" s="52"/>
      <c r="S727" s="52"/>
      <c r="T727" s="52"/>
      <c r="U727" s="52"/>
      <c r="V727" s="52"/>
      <c r="W727" s="52"/>
      <c r="X727" s="52"/>
    </row>
    <row r="728">
      <c r="A728" s="52"/>
      <c r="B728" s="60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4"/>
      <c r="R728" s="52"/>
      <c r="S728" s="52"/>
      <c r="T728" s="52"/>
      <c r="U728" s="52"/>
      <c r="V728" s="52"/>
      <c r="W728" s="52"/>
      <c r="X728" s="52"/>
    </row>
    <row r="729">
      <c r="A729" s="52"/>
      <c r="B729" s="60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4"/>
      <c r="R729" s="52"/>
      <c r="S729" s="52"/>
      <c r="T729" s="52"/>
      <c r="U729" s="52"/>
      <c r="V729" s="52"/>
      <c r="W729" s="52"/>
      <c r="X729" s="52"/>
    </row>
    <row r="730">
      <c r="A730" s="52"/>
      <c r="B730" s="60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4"/>
      <c r="R730" s="52"/>
      <c r="S730" s="52"/>
      <c r="T730" s="52"/>
      <c r="U730" s="52"/>
      <c r="V730" s="52"/>
      <c r="W730" s="52"/>
      <c r="X730" s="52"/>
    </row>
    <row r="731">
      <c r="A731" s="52"/>
      <c r="B731" s="60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4"/>
      <c r="R731" s="52"/>
      <c r="S731" s="52"/>
      <c r="T731" s="52"/>
      <c r="U731" s="52"/>
      <c r="V731" s="52"/>
      <c r="W731" s="52"/>
      <c r="X731" s="52"/>
    </row>
    <row r="732">
      <c r="A732" s="52"/>
      <c r="B732" s="60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4"/>
      <c r="R732" s="52"/>
      <c r="S732" s="52"/>
      <c r="T732" s="52"/>
      <c r="U732" s="52"/>
      <c r="V732" s="52"/>
      <c r="W732" s="52"/>
      <c r="X732" s="52"/>
    </row>
    <row r="733">
      <c r="A733" s="52"/>
      <c r="B733" s="60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4"/>
      <c r="R733" s="52"/>
      <c r="S733" s="52"/>
      <c r="T733" s="52"/>
      <c r="U733" s="52"/>
      <c r="V733" s="52"/>
      <c r="W733" s="52"/>
      <c r="X733" s="52"/>
    </row>
    <row r="734">
      <c r="A734" s="52"/>
      <c r="B734" s="60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4"/>
      <c r="R734" s="52"/>
      <c r="S734" s="52"/>
      <c r="T734" s="52"/>
      <c r="U734" s="52"/>
      <c r="V734" s="52"/>
      <c r="W734" s="52"/>
      <c r="X734" s="52"/>
    </row>
    <row r="735">
      <c r="A735" s="52"/>
      <c r="B735" s="60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4"/>
      <c r="R735" s="52"/>
      <c r="S735" s="52"/>
      <c r="T735" s="52"/>
      <c r="U735" s="52"/>
      <c r="V735" s="52"/>
      <c r="W735" s="52"/>
      <c r="X735" s="52"/>
    </row>
    <row r="736">
      <c r="A736" s="52"/>
      <c r="B736" s="60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4"/>
      <c r="R736" s="52"/>
      <c r="S736" s="52"/>
      <c r="T736" s="52"/>
      <c r="U736" s="52"/>
      <c r="V736" s="52"/>
      <c r="W736" s="52"/>
      <c r="X736" s="52"/>
    </row>
    <row r="737">
      <c r="A737" s="52"/>
      <c r="B737" s="60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4"/>
      <c r="R737" s="52"/>
      <c r="S737" s="52"/>
      <c r="T737" s="52"/>
      <c r="U737" s="52"/>
      <c r="V737" s="52"/>
      <c r="W737" s="52"/>
      <c r="X737" s="52"/>
    </row>
    <row r="738">
      <c r="A738" s="52"/>
      <c r="B738" s="60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4"/>
      <c r="R738" s="52"/>
      <c r="S738" s="52"/>
      <c r="T738" s="52"/>
      <c r="U738" s="52"/>
      <c r="V738" s="52"/>
      <c r="W738" s="52"/>
      <c r="X738" s="52"/>
    </row>
    <row r="739">
      <c r="A739" s="52"/>
      <c r="B739" s="60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4"/>
      <c r="R739" s="52"/>
      <c r="S739" s="52"/>
      <c r="T739" s="52"/>
      <c r="U739" s="52"/>
      <c r="V739" s="52"/>
      <c r="W739" s="52"/>
      <c r="X739" s="52"/>
    </row>
    <row r="740">
      <c r="A740" s="52"/>
      <c r="B740" s="60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4"/>
      <c r="R740" s="52"/>
      <c r="S740" s="52"/>
      <c r="T740" s="52"/>
      <c r="U740" s="52"/>
      <c r="V740" s="52"/>
      <c r="W740" s="52"/>
      <c r="X740" s="52"/>
    </row>
    <row r="741">
      <c r="A741" s="52"/>
      <c r="B741" s="60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4"/>
      <c r="R741" s="52"/>
      <c r="S741" s="52"/>
      <c r="T741" s="52"/>
      <c r="U741" s="52"/>
      <c r="V741" s="52"/>
      <c r="W741" s="52"/>
      <c r="X741" s="52"/>
    </row>
    <row r="742">
      <c r="A742" s="52"/>
      <c r="B742" s="60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4"/>
      <c r="R742" s="52"/>
      <c r="S742" s="52"/>
      <c r="T742" s="52"/>
      <c r="U742" s="52"/>
      <c r="V742" s="52"/>
      <c r="W742" s="52"/>
      <c r="X742" s="52"/>
    </row>
    <row r="743">
      <c r="A743" s="52"/>
      <c r="B743" s="60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4"/>
      <c r="R743" s="52"/>
      <c r="S743" s="52"/>
      <c r="T743" s="52"/>
      <c r="U743" s="52"/>
      <c r="V743" s="52"/>
      <c r="W743" s="52"/>
      <c r="X743" s="52"/>
    </row>
    <row r="744">
      <c r="A744" s="52"/>
      <c r="B744" s="60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4"/>
      <c r="R744" s="52"/>
      <c r="S744" s="52"/>
      <c r="T744" s="52"/>
      <c r="U744" s="52"/>
      <c r="V744" s="52"/>
      <c r="W744" s="52"/>
      <c r="X744" s="52"/>
    </row>
    <row r="745">
      <c r="A745" s="52"/>
      <c r="B745" s="60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4"/>
      <c r="R745" s="52"/>
      <c r="S745" s="52"/>
      <c r="T745" s="52"/>
      <c r="U745" s="52"/>
      <c r="V745" s="52"/>
      <c r="W745" s="52"/>
      <c r="X745" s="52"/>
    </row>
    <row r="746">
      <c r="A746" s="52"/>
      <c r="B746" s="60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4"/>
      <c r="R746" s="52"/>
      <c r="S746" s="52"/>
      <c r="T746" s="52"/>
      <c r="U746" s="52"/>
      <c r="V746" s="52"/>
      <c r="W746" s="52"/>
      <c r="X746" s="52"/>
    </row>
    <row r="747">
      <c r="A747" s="52"/>
      <c r="B747" s="60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4"/>
      <c r="R747" s="52"/>
      <c r="S747" s="52"/>
      <c r="T747" s="52"/>
      <c r="U747" s="52"/>
      <c r="V747" s="52"/>
      <c r="W747" s="52"/>
      <c r="X747" s="52"/>
    </row>
    <row r="748">
      <c r="A748" s="52"/>
      <c r="B748" s="60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4"/>
      <c r="R748" s="52"/>
      <c r="S748" s="52"/>
      <c r="T748" s="52"/>
      <c r="U748" s="52"/>
      <c r="V748" s="52"/>
      <c r="W748" s="52"/>
      <c r="X748" s="52"/>
    </row>
    <row r="749">
      <c r="A749" s="52"/>
      <c r="B749" s="60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4"/>
      <c r="R749" s="52"/>
      <c r="S749" s="52"/>
      <c r="T749" s="52"/>
      <c r="U749" s="52"/>
      <c r="V749" s="52"/>
      <c r="W749" s="52"/>
      <c r="X749" s="52"/>
    </row>
    <row r="750">
      <c r="A750" s="52"/>
      <c r="B750" s="60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4"/>
      <c r="R750" s="52"/>
      <c r="S750" s="52"/>
      <c r="T750" s="52"/>
      <c r="U750" s="52"/>
      <c r="V750" s="52"/>
      <c r="W750" s="52"/>
      <c r="X750" s="52"/>
    </row>
    <row r="751">
      <c r="A751" s="52"/>
      <c r="B751" s="60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4"/>
      <c r="R751" s="52"/>
      <c r="S751" s="52"/>
      <c r="T751" s="52"/>
      <c r="U751" s="52"/>
      <c r="V751" s="52"/>
      <c r="W751" s="52"/>
      <c r="X751" s="52"/>
    </row>
    <row r="752">
      <c r="A752" s="52"/>
      <c r="B752" s="60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4"/>
      <c r="R752" s="52"/>
      <c r="S752" s="52"/>
      <c r="T752" s="52"/>
      <c r="U752" s="52"/>
      <c r="V752" s="52"/>
      <c r="W752" s="52"/>
      <c r="X752" s="52"/>
    </row>
    <row r="753">
      <c r="A753" s="52"/>
      <c r="B753" s="60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4"/>
      <c r="R753" s="52"/>
      <c r="S753" s="52"/>
      <c r="T753" s="52"/>
      <c r="U753" s="52"/>
      <c r="V753" s="52"/>
      <c r="W753" s="52"/>
      <c r="X753" s="52"/>
    </row>
    <row r="754">
      <c r="A754" s="52"/>
      <c r="B754" s="60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4"/>
      <c r="R754" s="52"/>
      <c r="S754" s="52"/>
      <c r="T754" s="52"/>
      <c r="U754" s="52"/>
      <c r="V754" s="52"/>
      <c r="W754" s="52"/>
      <c r="X754" s="52"/>
    </row>
    <row r="755">
      <c r="A755" s="52"/>
      <c r="B755" s="60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4"/>
      <c r="R755" s="52"/>
      <c r="S755" s="52"/>
      <c r="T755" s="52"/>
      <c r="U755" s="52"/>
      <c r="V755" s="52"/>
      <c r="W755" s="52"/>
      <c r="X755" s="52"/>
    </row>
    <row r="756">
      <c r="A756" s="52"/>
      <c r="B756" s="60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4"/>
      <c r="R756" s="52"/>
      <c r="S756" s="52"/>
      <c r="T756" s="52"/>
      <c r="U756" s="52"/>
      <c r="V756" s="52"/>
      <c r="W756" s="52"/>
      <c r="X756" s="52"/>
    </row>
    <row r="757">
      <c r="A757" s="52"/>
      <c r="B757" s="60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4"/>
      <c r="R757" s="52"/>
      <c r="S757" s="52"/>
      <c r="T757" s="52"/>
      <c r="U757" s="52"/>
      <c r="V757" s="52"/>
      <c r="W757" s="52"/>
      <c r="X757" s="52"/>
    </row>
    <row r="758">
      <c r="A758" s="52"/>
      <c r="B758" s="60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4"/>
      <c r="R758" s="52"/>
      <c r="S758" s="52"/>
      <c r="T758" s="52"/>
      <c r="U758" s="52"/>
      <c r="V758" s="52"/>
      <c r="W758" s="52"/>
      <c r="X758" s="52"/>
    </row>
    <row r="759">
      <c r="A759" s="52"/>
      <c r="B759" s="60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4"/>
      <c r="R759" s="52"/>
      <c r="S759" s="52"/>
      <c r="T759" s="52"/>
      <c r="U759" s="52"/>
      <c r="V759" s="52"/>
      <c r="W759" s="52"/>
      <c r="X759" s="52"/>
    </row>
    <row r="760">
      <c r="A760" s="52"/>
      <c r="B760" s="60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4"/>
      <c r="R760" s="52"/>
      <c r="S760" s="52"/>
      <c r="T760" s="52"/>
      <c r="U760" s="52"/>
      <c r="V760" s="52"/>
      <c r="W760" s="52"/>
      <c r="X760" s="52"/>
    </row>
    <row r="761">
      <c r="A761" s="52"/>
      <c r="B761" s="60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4"/>
      <c r="R761" s="52"/>
      <c r="S761" s="52"/>
      <c r="T761" s="52"/>
      <c r="U761" s="52"/>
      <c r="V761" s="52"/>
      <c r="W761" s="52"/>
      <c r="X761" s="52"/>
    </row>
    <row r="762">
      <c r="A762" s="52"/>
      <c r="B762" s="60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4"/>
      <c r="R762" s="52"/>
      <c r="S762" s="52"/>
      <c r="T762" s="52"/>
      <c r="U762" s="52"/>
      <c r="V762" s="52"/>
      <c r="W762" s="52"/>
      <c r="X762" s="52"/>
    </row>
    <row r="763">
      <c r="A763" s="52"/>
      <c r="B763" s="60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4"/>
      <c r="R763" s="52"/>
      <c r="S763" s="52"/>
      <c r="T763" s="52"/>
      <c r="U763" s="52"/>
      <c r="V763" s="52"/>
      <c r="W763" s="52"/>
      <c r="X763" s="52"/>
    </row>
    <row r="764">
      <c r="A764" s="52"/>
      <c r="B764" s="60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4"/>
      <c r="R764" s="52"/>
      <c r="S764" s="52"/>
      <c r="T764" s="52"/>
      <c r="U764" s="52"/>
      <c r="V764" s="52"/>
      <c r="W764" s="52"/>
      <c r="X764" s="52"/>
    </row>
    <row r="765">
      <c r="A765" s="52"/>
      <c r="B765" s="60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4"/>
      <c r="R765" s="52"/>
      <c r="S765" s="52"/>
      <c r="T765" s="52"/>
      <c r="U765" s="52"/>
      <c r="V765" s="52"/>
      <c r="W765" s="52"/>
      <c r="X765" s="52"/>
    </row>
    <row r="766">
      <c r="A766" s="52"/>
      <c r="B766" s="60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4"/>
      <c r="R766" s="52"/>
      <c r="S766" s="52"/>
      <c r="T766" s="52"/>
      <c r="U766" s="52"/>
      <c r="V766" s="52"/>
      <c r="W766" s="52"/>
      <c r="X766" s="52"/>
    </row>
    <row r="767">
      <c r="A767" s="52"/>
      <c r="B767" s="60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4"/>
      <c r="R767" s="52"/>
      <c r="S767" s="52"/>
      <c r="T767" s="52"/>
      <c r="U767" s="52"/>
      <c r="V767" s="52"/>
      <c r="W767" s="52"/>
      <c r="X767" s="52"/>
    </row>
    <row r="768">
      <c r="A768" s="52"/>
      <c r="B768" s="60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4"/>
      <c r="R768" s="52"/>
      <c r="S768" s="52"/>
      <c r="T768" s="52"/>
      <c r="U768" s="52"/>
      <c r="V768" s="52"/>
      <c r="W768" s="52"/>
      <c r="X768" s="52"/>
    </row>
    <row r="769">
      <c r="A769" s="52"/>
      <c r="B769" s="60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4"/>
      <c r="R769" s="52"/>
      <c r="S769" s="52"/>
      <c r="T769" s="52"/>
      <c r="U769" s="52"/>
      <c r="V769" s="52"/>
      <c r="W769" s="52"/>
      <c r="X769" s="52"/>
    </row>
    <row r="770">
      <c r="A770" s="52"/>
      <c r="B770" s="60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4"/>
      <c r="R770" s="52"/>
      <c r="S770" s="52"/>
      <c r="T770" s="52"/>
      <c r="U770" s="52"/>
      <c r="V770" s="52"/>
      <c r="W770" s="52"/>
      <c r="X770" s="52"/>
    </row>
    <row r="771">
      <c r="A771" s="52"/>
      <c r="B771" s="60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4"/>
      <c r="R771" s="52"/>
      <c r="S771" s="52"/>
      <c r="T771" s="52"/>
      <c r="U771" s="52"/>
      <c r="V771" s="52"/>
      <c r="W771" s="52"/>
      <c r="X771" s="52"/>
    </row>
    <row r="772">
      <c r="A772" s="52"/>
      <c r="B772" s="60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4"/>
      <c r="R772" s="52"/>
      <c r="S772" s="52"/>
      <c r="T772" s="52"/>
      <c r="U772" s="52"/>
      <c r="V772" s="52"/>
      <c r="W772" s="52"/>
      <c r="X772" s="52"/>
    </row>
    <row r="773">
      <c r="A773" s="52"/>
      <c r="B773" s="60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4"/>
      <c r="R773" s="52"/>
      <c r="S773" s="52"/>
      <c r="T773" s="52"/>
      <c r="U773" s="52"/>
      <c r="V773" s="52"/>
      <c r="W773" s="52"/>
      <c r="X773" s="52"/>
    </row>
    <row r="774">
      <c r="A774" s="52"/>
      <c r="B774" s="60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4"/>
      <c r="R774" s="52"/>
      <c r="S774" s="52"/>
      <c r="T774" s="52"/>
      <c r="U774" s="52"/>
      <c r="V774" s="52"/>
      <c r="W774" s="52"/>
      <c r="X774" s="52"/>
    </row>
    <row r="775">
      <c r="A775" s="52"/>
      <c r="B775" s="60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4"/>
      <c r="R775" s="52"/>
      <c r="S775" s="52"/>
      <c r="T775" s="52"/>
      <c r="U775" s="52"/>
      <c r="V775" s="52"/>
      <c r="W775" s="52"/>
      <c r="X775" s="52"/>
    </row>
    <row r="776">
      <c r="A776" s="52"/>
      <c r="B776" s="60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4"/>
      <c r="R776" s="52"/>
      <c r="S776" s="52"/>
      <c r="T776" s="52"/>
      <c r="U776" s="52"/>
      <c r="V776" s="52"/>
      <c r="W776" s="52"/>
      <c r="X776" s="52"/>
    </row>
    <row r="777">
      <c r="A777" s="52"/>
      <c r="B777" s="60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4"/>
      <c r="R777" s="52"/>
      <c r="S777" s="52"/>
      <c r="T777" s="52"/>
      <c r="U777" s="52"/>
      <c r="V777" s="52"/>
      <c r="W777" s="52"/>
      <c r="X777" s="52"/>
    </row>
    <row r="778">
      <c r="A778" s="52"/>
      <c r="B778" s="60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4"/>
      <c r="R778" s="52"/>
      <c r="S778" s="52"/>
      <c r="T778" s="52"/>
      <c r="U778" s="52"/>
      <c r="V778" s="52"/>
      <c r="W778" s="52"/>
      <c r="X778" s="52"/>
    </row>
    <row r="779">
      <c r="A779" s="52"/>
      <c r="B779" s="60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4"/>
      <c r="R779" s="52"/>
      <c r="S779" s="52"/>
      <c r="T779" s="52"/>
      <c r="U779" s="52"/>
      <c r="V779" s="52"/>
      <c r="W779" s="52"/>
      <c r="X779" s="52"/>
    </row>
    <row r="780">
      <c r="A780" s="52"/>
      <c r="B780" s="60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4"/>
      <c r="R780" s="52"/>
      <c r="S780" s="52"/>
      <c r="T780" s="52"/>
      <c r="U780" s="52"/>
      <c r="V780" s="52"/>
      <c r="W780" s="52"/>
      <c r="X780" s="52"/>
    </row>
    <row r="781">
      <c r="A781" s="52"/>
      <c r="B781" s="60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4"/>
      <c r="R781" s="52"/>
      <c r="S781" s="52"/>
      <c r="T781" s="52"/>
      <c r="U781" s="52"/>
      <c r="V781" s="52"/>
      <c r="W781" s="52"/>
      <c r="X781" s="52"/>
    </row>
    <row r="782">
      <c r="A782" s="52"/>
      <c r="B782" s="60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4"/>
      <c r="R782" s="52"/>
      <c r="S782" s="52"/>
      <c r="T782" s="52"/>
      <c r="U782" s="52"/>
      <c r="V782" s="52"/>
      <c r="W782" s="52"/>
      <c r="X782" s="52"/>
    </row>
    <row r="783">
      <c r="A783" s="52"/>
      <c r="B783" s="60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4"/>
      <c r="R783" s="52"/>
      <c r="S783" s="52"/>
      <c r="T783" s="52"/>
      <c r="U783" s="52"/>
      <c r="V783" s="52"/>
      <c r="W783" s="52"/>
      <c r="X783" s="52"/>
    </row>
    <row r="784">
      <c r="A784" s="52"/>
      <c r="B784" s="60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4"/>
      <c r="R784" s="52"/>
      <c r="S784" s="52"/>
      <c r="T784" s="52"/>
      <c r="U784" s="52"/>
      <c r="V784" s="52"/>
      <c r="W784" s="52"/>
      <c r="X784" s="52"/>
    </row>
    <row r="785">
      <c r="A785" s="52"/>
      <c r="B785" s="60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4"/>
      <c r="R785" s="52"/>
      <c r="S785" s="52"/>
      <c r="T785" s="52"/>
      <c r="U785" s="52"/>
      <c r="V785" s="52"/>
      <c r="W785" s="52"/>
      <c r="X785" s="52"/>
    </row>
    <row r="786">
      <c r="A786" s="52"/>
      <c r="B786" s="60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4"/>
      <c r="R786" s="52"/>
      <c r="S786" s="52"/>
      <c r="T786" s="52"/>
      <c r="U786" s="52"/>
      <c r="V786" s="52"/>
      <c r="W786" s="52"/>
      <c r="X786" s="52"/>
    </row>
    <row r="787">
      <c r="A787" s="52"/>
      <c r="B787" s="60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4"/>
      <c r="R787" s="52"/>
      <c r="S787" s="52"/>
      <c r="T787" s="52"/>
      <c r="U787" s="52"/>
      <c r="V787" s="52"/>
      <c r="W787" s="52"/>
      <c r="X787" s="52"/>
    </row>
    <row r="788">
      <c r="A788" s="52"/>
      <c r="B788" s="60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4"/>
      <c r="R788" s="52"/>
      <c r="S788" s="52"/>
      <c r="T788" s="52"/>
      <c r="U788" s="52"/>
      <c r="V788" s="52"/>
      <c r="W788" s="52"/>
      <c r="X788" s="52"/>
    </row>
    <row r="789">
      <c r="A789" s="52"/>
      <c r="B789" s="60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4"/>
      <c r="R789" s="52"/>
      <c r="S789" s="52"/>
      <c r="T789" s="52"/>
      <c r="U789" s="52"/>
      <c r="V789" s="52"/>
      <c r="W789" s="52"/>
      <c r="X789" s="52"/>
    </row>
    <row r="790">
      <c r="A790" s="52"/>
      <c r="B790" s="60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4"/>
      <c r="R790" s="52"/>
      <c r="S790" s="52"/>
      <c r="T790" s="52"/>
      <c r="U790" s="52"/>
      <c r="V790" s="52"/>
      <c r="W790" s="52"/>
      <c r="X790" s="52"/>
    </row>
    <row r="791">
      <c r="A791" s="52"/>
      <c r="B791" s="60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4"/>
      <c r="R791" s="52"/>
      <c r="S791" s="52"/>
      <c r="T791" s="52"/>
      <c r="U791" s="52"/>
      <c r="V791" s="52"/>
      <c r="W791" s="52"/>
      <c r="X791" s="52"/>
    </row>
    <row r="792">
      <c r="A792" s="52"/>
      <c r="B792" s="60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4"/>
      <c r="R792" s="52"/>
      <c r="S792" s="52"/>
      <c r="T792" s="52"/>
      <c r="U792" s="52"/>
      <c r="V792" s="52"/>
      <c r="W792" s="52"/>
      <c r="X792" s="52"/>
    </row>
    <row r="793">
      <c r="A793" s="52"/>
      <c r="B793" s="60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4"/>
      <c r="R793" s="52"/>
      <c r="S793" s="52"/>
      <c r="T793" s="52"/>
      <c r="U793" s="52"/>
      <c r="V793" s="52"/>
      <c r="W793" s="52"/>
      <c r="X793" s="52"/>
    </row>
    <row r="794">
      <c r="A794" s="52"/>
      <c r="B794" s="60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4"/>
      <c r="R794" s="52"/>
      <c r="S794" s="52"/>
      <c r="T794" s="52"/>
      <c r="U794" s="52"/>
      <c r="V794" s="52"/>
      <c r="W794" s="52"/>
      <c r="X794" s="52"/>
    </row>
    <row r="795">
      <c r="A795" s="52"/>
      <c r="B795" s="60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4"/>
      <c r="R795" s="52"/>
      <c r="S795" s="52"/>
      <c r="T795" s="52"/>
      <c r="U795" s="52"/>
      <c r="V795" s="52"/>
      <c r="W795" s="52"/>
      <c r="X795" s="52"/>
    </row>
    <row r="796">
      <c r="A796" s="52"/>
      <c r="B796" s="60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4"/>
      <c r="R796" s="52"/>
      <c r="S796" s="52"/>
      <c r="T796" s="52"/>
      <c r="U796" s="52"/>
      <c r="V796" s="52"/>
      <c r="W796" s="52"/>
      <c r="X796" s="52"/>
    </row>
    <row r="797">
      <c r="A797" s="52"/>
      <c r="B797" s="60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4"/>
      <c r="R797" s="52"/>
      <c r="S797" s="52"/>
      <c r="T797" s="52"/>
      <c r="U797" s="52"/>
      <c r="V797" s="52"/>
      <c r="W797" s="52"/>
      <c r="X797" s="52"/>
    </row>
    <row r="798">
      <c r="A798" s="52"/>
      <c r="B798" s="60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4"/>
      <c r="R798" s="52"/>
      <c r="S798" s="52"/>
      <c r="T798" s="52"/>
      <c r="U798" s="52"/>
      <c r="V798" s="52"/>
      <c r="W798" s="52"/>
      <c r="X798" s="52"/>
    </row>
    <row r="799">
      <c r="A799" s="52"/>
      <c r="B799" s="60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4"/>
      <c r="R799" s="52"/>
      <c r="S799" s="52"/>
      <c r="T799" s="52"/>
      <c r="U799" s="52"/>
      <c r="V799" s="52"/>
      <c r="W799" s="52"/>
      <c r="X799" s="52"/>
    </row>
    <row r="800">
      <c r="A800" s="52"/>
      <c r="B800" s="60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4"/>
      <c r="R800" s="52"/>
      <c r="S800" s="52"/>
      <c r="T800" s="52"/>
      <c r="U800" s="52"/>
      <c r="V800" s="52"/>
      <c r="W800" s="52"/>
      <c r="X800" s="52"/>
    </row>
    <row r="801">
      <c r="A801" s="52"/>
      <c r="B801" s="60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4"/>
      <c r="R801" s="52"/>
      <c r="S801" s="52"/>
      <c r="T801" s="52"/>
      <c r="U801" s="52"/>
      <c r="V801" s="52"/>
      <c r="W801" s="52"/>
      <c r="X801" s="52"/>
    </row>
    <row r="802">
      <c r="A802" s="52"/>
      <c r="B802" s="60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4"/>
      <c r="R802" s="52"/>
      <c r="S802" s="52"/>
      <c r="T802" s="52"/>
      <c r="U802" s="52"/>
      <c r="V802" s="52"/>
      <c r="W802" s="52"/>
      <c r="X802" s="52"/>
    </row>
    <row r="803">
      <c r="A803" s="52"/>
      <c r="B803" s="60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4"/>
      <c r="R803" s="52"/>
      <c r="S803" s="52"/>
      <c r="T803" s="52"/>
      <c r="U803" s="52"/>
      <c r="V803" s="52"/>
      <c r="W803" s="52"/>
      <c r="X803" s="52"/>
    </row>
    <row r="804">
      <c r="A804" s="52"/>
      <c r="B804" s="60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4"/>
      <c r="R804" s="52"/>
      <c r="S804" s="52"/>
      <c r="T804" s="52"/>
      <c r="U804" s="52"/>
      <c r="V804" s="52"/>
      <c r="W804" s="52"/>
      <c r="X804" s="52"/>
    </row>
    <row r="805">
      <c r="A805" s="52"/>
      <c r="B805" s="60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4"/>
      <c r="R805" s="52"/>
      <c r="S805" s="52"/>
      <c r="T805" s="52"/>
      <c r="U805" s="52"/>
      <c r="V805" s="52"/>
      <c r="W805" s="52"/>
      <c r="X805" s="52"/>
    </row>
    <row r="806">
      <c r="A806" s="52"/>
      <c r="B806" s="60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4"/>
      <c r="R806" s="52"/>
      <c r="S806" s="52"/>
      <c r="T806" s="52"/>
      <c r="U806" s="52"/>
      <c r="V806" s="52"/>
      <c r="W806" s="52"/>
      <c r="X806" s="52"/>
    </row>
    <row r="807">
      <c r="A807" s="52"/>
      <c r="B807" s="60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4"/>
      <c r="R807" s="52"/>
      <c r="S807" s="52"/>
      <c r="T807" s="52"/>
      <c r="U807" s="52"/>
      <c r="V807" s="52"/>
      <c r="W807" s="52"/>
      <c r="X807" s="52"/>
    </row>
    <row r="808">
      <c r="A808" s="52"/>
      <c r="B808" s="60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4"/>
      <c r="R808" s="52"/>
      <c r="S808" s="52"/>
      <c r="T808" s="52"/>
      <c r="U808" s="52"/>
      <c r="V808" s="52"/>
      <c r="W808" s="52"/>
      <c r="X808" s="52"/>
    </row>
    <row r="809">
      <c r="A809" s="52"/>
      <c r="B809" s="60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4"/>
      <c r="R809" s="52"/>
      <c r="S809" s="52"/>
      <c r="T809" s="52"/>
      <c r="U809" s="52"/>
      <c r="V809" s="52"/>
      <c r="W809" s="52"/>
      <c r="X809" s="52"/>
    </row>
    <row r="810">
      <c r="A810" s="52"/>
      <c r="B810" s="60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4"/>
      <c r="R810" s="52"/>
      <c r="S810" s="52"/>
      <c r="T810" s="52"/>
      <c r="U810" s="52"/>
      <c r="V810" s="52"/>
      <c r="W810" s="52"/>
      <c r="X810" s="52"/>
    </row>
    <row r="811">
      <c r="A811" s="52"/>
      <c r="B811" s="60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4"/>
      <c r="R811" s="52"/>
      <c r="S811" s="52"/>
      <c r="T811" s="52"/>
      <c r="U811" s="52"/>
      <c r="V811" s="52"/>
      <c r="W811" s="52"/>
      <c r="X811" s="52"/>
    </row>
    <row r="812">
      <c r="A812" s="52"/>
      <c r="B812" s="60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4"/>
      <c r="R812" s="52"/>
      <c r="S812" s="52"/>
      <c r="T812" s="52"/>
      <c r="U812" s="52"/>
      <c r="V812" s="52"/>
      <c r="W812" s="52"/>
      <c r="X812" s="52"/>
    </row>
    <row r="813">
      <c r="A813" s="52"/>
      <c r="B813" s="60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4"/>
      <c r="R813" s="52"/>
      <c r="S813" s="52"/>
      <c r="T813" s="52"/>
      <c r="U813" s="52"/>
      <c r="V813" s="52"/>
      <c r="W813" s="52"/>
      <c r="X813" s="52"/>
    </row>
    <row r="814">
      <c r="A814" s="52"/>
      <c r="B814" s="60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4"/>
      <c r="R814" s="52"/>
      <c r="S814" s="52"/>
      <c r="T814" s="52"/>
      <c r="U814" s="52"/>
      <c r="V814" s="52"/>
      <c r="W814" s="52"/>
      <c r="X814" s="52"/>
    </row>
    <row r="815">
      <c r="A815" s="52"/>
      <c r="B815" s="60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4"/>
      <c r="R815" s="52"/>
      <c r="S815" s="52"/>
      <c r="T815" s="52"/>
      <c r="U815" s="52"/>
      <c r="V815" s="52"/>
      <c r="W815" s="52"/>
      <c r="X815" s="52"/>
    </row>
    <row r="816">
      <c r="A816" s="52"/>
      <c r="B816" s="60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4"/>
      <c r="R816" s="52"/>
      <c r="S816" s="52"/>
      <c r="T816" s="52"/>
      <c r="U816" s="52"/>
      <c r="V816" s="52"/>
      <c r="W816" s="52"/>
      <c r="X816" s="52"/>
    </row>
    <row r="817">
      <c r="A817" s="52"/>
      <c r="B817" s="60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4"/>
      <c r="R817" s="52"/>
      <c r="S817" s="52"/>
      <c r="T817" s="52"/>
      <c r="U817" s="52"/>
      <c r="V817" s="52"/>
      <c r="W817" s="52"/>
      <c r="X817" s="52"/>
    </row>
    <row r="818">
      <c r="A818" s="52"/>
      <c r="B818" s="60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4"/>
      <c r="R818" s="52"/>
      <c r="S818" s="52"/>
      <c r="T818" s="52"/>
      <c r="U818" s="52"/>
      <c r="V818" s="52"/>
      <c r="W818" s="52"/>
      <c r="X818" s="52"/>
    </row>
    <row r="819">
      <c r="A819" s="52"/>
      <c r="B819" s="60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4"/>
      <c r="R819" s="52"/>
      <c r="S819" s="52"/>
      <c r="T819" s="52"/>
      <c r="U819" s="52"/>
      <c r="V819" s="52"/>
      <c r="W819" s="52"/>
      <c r="X819" s="52"/>
    </row>
    <row r="820">
      <c r="A820" s="52"/>
      <c r="B820" s="60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4"/>
      <c r="R820" s="52"/>
      <c r="S820" s="52"/>
      <c r="T820" s="52"/>
      <c r="U820" s="52"/>
      <c r="V820" s="52"/>
      <c r="W820" s="52"/>
      <c r="X820" s="52"/>
    </row>
    <row r="821">
      <c r="A821" s="52"/>
      <c r="B821" s="60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4"/>
      <c r="R821" s="52"/>
      <c r="S821" s="52"/>
      <c r="T821" s="52"/>
      <c r="U821" s="52"/>
      <c r="V821" s="52"/>
      <c r="W821" s="52"/>
      <c r="X821" s="52"/>
    </row>
    <row r="822">
      <c r="A822" s="52"/>
      <c r="B822" s="60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4"/>
      <c r="R822" s="52"/>
      <c r="S822" s="52"/>
      <c r="T822" s="52"/>
      <c r="U822" s="52"/>
      <c r="V822" s="52"/>
      <c r="W822" s="52"/>
      <c r="X822" s="52"/>
    </row>
    <row r="823">
      <c r="A823" s="52"/>
      <c r="B823" s="60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4"/>
      <c r="R823" s="52"/>
      <c r="S823" s="52"/>
      <c r="T823" s="52"/>
      <c r="U823" s="52"/>
      <c r="V823" s="52"/>
      <c r="W823" s="52"/>
      <c r="X823" s="52"/>
    </row>
    <row r="824">
      <c r="A824" s="52"/>
      <c r="B824" s="60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4"/>
      <c r="R824" s="52"/>
      <c r="S824" s="52"/>
      <c r="T824" s="52"/>
      <c r="U824" s="52"/>
      <c r="V824" s="52"/>
      <c r="W824" s="52"/>
      <c r="X824" s="52"/>
    </row>
    <row r="825">
      <c r="A825" s="52"/>
      <c r="B825" s="60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4"/>
      <c r="R825" s="52"/>
      <c r="S825" s="52"/>
      <c r="T825" s="52"/>
      <c r="U825" s="52"/>
      <c r="V825" s="52"/>
      <c r="W825" s="52"/>
      <c r="X825" s="52"/>
    </row>
    <row r="826">
      <c r="A826" s="52"/>
      <c r="B826" s="60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4"/>
      <c r="R826" s="52"/>
      <c r="S826" s="52"/>
      <c r="T826" s="52"/>
      <c r="U826" s="52"/>
      <c r="V826" s="52"/>
      <c r="W826" s="52"/>
      <c r="X826" s="52"/>
    </row>
    <row r="827">
      <c r="A827" s="52"/>
      <c r="B827" s="60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4"/>
      <c r="R827" s="52"/>
      <c r="S827" s="52"/>
      <c r="T827" s="52"/>
      <c r="U827" s="52"/>
      <c r="V827" s="52"/>
      <c r="W827" s="52"/>
      <c r="X827" s="52"/>
    </row>
    <row r="828">
      <c r="A828" s="52"/>
      <c r="B828" s="60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4"/>
      <c r="R828" s="52"/>
      <c r="S828" s="52"/>
      <c r="T828" s="52"/>
      <c r="U828" s="52"/>
      <c r="V828" s="52"/>
      <c r="W828" s="52"/>
      <c r="X828" s="52"/>
    </row>
    <row r="829">
      <c r="A829" s="52"/>
      <c r="B829" s="60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4"/>
      <c r="R829" s="52"/>
      <c r="S829" s="52"/>
      <c r="T829" s="52"/>
      <c r="U829" s="52"/>
      <c r="V829" s="52"/>
      <c r="W829" s="52"/>
      <c r="X829" s="52"/>
    </row>
    <row r="830">
      <c r="A830" s="52"/>
      <c r="B830" s="60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4"/>
      <c r="R830" s="52"/>
      <c r="S830" s="52"/>
      <c r="T830" s="52"/>
      <c r="U830" s="52"/>
      <c r="V830" s="52"/>
      <c r="W830" s="52"/>
      <c r="X830" s="52"/>
    </row>
    <row r="831">
      <c r="A831" s="52"/>
      <c r="B831" s="60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4"/>
      <c r="R831" s="52"/>
      <c r="S831" s="52"/>
      <c r="T831" s="52"/>
      <c r="U831" s="52"/>
      <c r="V831" s="52"/>
      <c r="W831" s="52"/>
      <c r="X831" s="52"/>
    </row>
    <row r="832">
      <c r="A832" s="52"/>
      <c r="B832" s="60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4"/>
      <c r="R832" s="52"/>
      <c r="S832" s="52"/>
      <c r="T832" s="52"/>
      <c r="U832" s="52"/>
      <c r="V832" s="52"/>
      <c r="W832" s="52"/>
      <c r="X832" s="52"/>
    </row>
    <row r="833">
      <c r="A833" s="52"/>
      <c r="B833" s="60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4"/>
      <c r="R833" s="52"/>
      <c r="S833" s="52"/>
      <c r="T833" s="52"/>
      <c r="U833" s="52"/>
      <c r="V833" s="52"/>
      <c r="W833" s="52"/>
      <c r="X833" s="52"/>
    </row>
    <row r="834">
      <c r="A834" s="52"/>
      <c r="B834" s="60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4"/>
      <c r="R834" s="52"/>
      <c r="S834" s="52"/>
      <c r="T834" s="52"/>
      <c r="U834" s="52"/>
      <c r="V834" s="52"/>
      <c r="W834" s="52"/>
      <c r="X834" s="52"/>
    </row>
    <row r="835">
      <c r="A835" s="52"/>
      <c r="B835" s="60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4"/>
      <c r="R835" s="52"/>
      <c r="S835" s="52"/>
      <c r="T835" s="52"/>
      <c r="U835" s="52"/>
      <c r="V835" s="52"/>
      <c r="W835" s="52"/>
      <c r="X835" s="52"/>
    </row>
    <row r="836">
      <c r="A836" s="52"/>
      <c r="B836" s="60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4"/>
      <c r="R836" s="52"/>
      <c r="S836" s="52"/>
      <c r="T836" s="52"/>
      <c r="U836" s="52"/>
      <c r="V836" s="52"/>
      <c r="W836" s="52"/>
      <c r="X836" s="52"/>
    </row>
    <row r="837">
      <c r="A837" s="52"/>
      <c r="B837" s="60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4"/>
      <c r="R837" s="52"/>
      <c r="S837" s="52"/>
      <c r="T837" s="52"/>
      <c r="U837" s="52"/>
      <c r="V837" s="52"/>
      <c r="W837" s="52"/>
      <c r="X837" s="52"/>
    </row>
    <row r="838">
      <c r="A838" s="52"/>
      <c r="B838" s="60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4"/>
      <c r="R838" s="52"/>
      <c r="S838" s="52"/>
      <c r="T838" s="52"/>
      <c r="U838" s="52"/>
      <c r="V838" s="52"/>
      <c r="W838" s="52"/>
      <c r="X838" s="52"/>
    </row>
    <row r="839">
      <c r="A839" s="52"/>
      <c r="B839" s="60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4"/>
      <c r="R839" s="52"/>
      <c r="S839" s="52"/>
      <c r="T839" s="52"/>
      <c r="U839" s="52"/>
      <c r="V839" s="52"/>
      <c r="W839" s="52"/>
      <c r="X839" s="52"/>
    </row>
    <row r="840">
      <c r="A840" s="52"/>
      <c r="B840" s="60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4"/>
      <c r="R840" s="52"/>
      <c r="S840" s="52"/>
      <c r="T840" s="52"/>
      <c r="U840" s="52"/>
      <c r="V840" s="52"/>
      <c r="W840" s="52"/>
      <c r="X840" s="52"/>
    </row>
    <row r="841">
      <c r="A841" s="52"/>
      <c r="B841" s="60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4"/>
      <c r="R841" s="52"/>
      <c r="S841" s="52"/>
      <c r="T841" s="52"/>
      <c r="U841" s="52"/>
      <c r="V841" s="52"/>
      <c r="W841" s="52"/>
      <c r="X841" s="52"/>
    </row>
    <row r="842">
      <c r="A842" s="52"/>
      <c r="B842" s="60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4"/>
      <c r="R842" s="52"/>
      <c r="S842" s="52"/>
      <c r="T842" s="52"/>
      <c r="U842" s="52"/>
      <c r="V842" s="52"/>
      <c r="W842" s="52"/>
      <c r="X842" s="52"/>
    </row>
    <row r="843">
      <c r="A843" s="52"/>
      <c r="B843" s="60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4"/>
      <c r="R843" s="52"/>
      <c r="S843" s="52"/>
      <c r="T843" s="52"/>
      <c r="U843" s="52"/>
      <c r="V843" s="52"/>
      <c r="W843" s="52"/>
      <c r="X843" s="52"/>
    </row>
    <row r="844">
      <c r="A844" s="52"/>
      <c r="B844" s="60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4"/>
      <c r="R844" s="52"/>
      <c r="S844" s="52"/>
      <c r="T844" s="52"/>
      <c r="U844" s="52"/>
      <c r="V844" s="52"/>
      <c r="W844" s="52"/>
      <c r="X844" s="52"/>
    </row>
    <row r="845">
      <c r="A845" s="52"/>
      <c r="B845" s="60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4"/>
      <c r="R845" s="52"/>
      <c r="S845" s="52"/>
      <c r="T845" s="52"/>
      <c r="U845" s="52"/>
      <c r="V845" s="52"/>
      <c r="W845" s="52"/>
      <c r="X845" s="52"/>
    </row>
    <row r="846">
      <c r="A846" s="52"/>
      <c r="B846" s="60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4"/>
      <c r="R846" s="52"/>
      <c r="S846" s="52"/>
      <c r="T846" s="52"/>
      <c r="U846" s="52"/>
      <c r="V846" s="52"/>
      <c r="W846" s="52"/>
      <c r="X846" s="52"/>
    </row>
    <row r="847">
      <c r="A847" s="52"/>
      <c r="B847" s="60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4"/>
      <c r="R847" s="52"/>
      <c r="S847" s="52"/>
      <c r="T847" s="52"/>
      <c r="U847" s="52"/>
      <c r="V847" s="52"/>
      <c r="W847" s="52"/>
      <c r="X847" s="52"/>
    </row>
    <row r="848">
      <c r="A848" s="52"/>
      <c r="B848" s="60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4"/>
      <c r="R848" s="52"/>
      <c r="S848" s="52"/>
      <c r="T848" s="52"/>
      <c r="U848" s="52"/>
      <c r="V848" s="52"/>
      <c r="W848" s="52"/>
      <c r="X848" s="52"/>
    </row>
    <row r="849">
      <c r="A849" s="52"/>
      <c r="B849" s="60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4"/>
      <c r="R849" s="52"/>
      <c r="S849" s="52"/>
      <c r="T849" s="52"/>
      <c r="U849" s="52"/>
      <c r="V849" s="52"/>
      <c r="W849" s="52"/>
      <c r="X849" s="52"/>
    </row>
    <row r="850">
      <c r="A850" s="52"/>
      <c r="B850" s="60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4"/>
      <c r="R850" s="52"/>
      <c r="S850" s="52"/>
      <c r="T850" s="52"/>
      <c r="U850" s="52"/>
      <c r="V850" s="52"/>
      <c r="W850" s="52"/>
      <c r="X850" s="52"/>
    </row>
    <row r="851">
      <c r="A851" s="52"/>
      <c r="B851" s="60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4"/>
      <c r="R851" s="52"/>
      <c r="S851" s="52"/>
      <c r="T851" s="52"/>
      <c r="U851" s="52"/>
      <c r="V851" s="52"/>
      <c r="W851" s="52"/>
      <c r="X851" s="52"/>
    </row>
    <row r="852">
      <c r="A852" s="52"/>
      <c r="B852" s="60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4"/>
      <c r="R852" s="52"/>
      <c r="S852" s="52"/>
      <c r="T852" s="52"/>
      <c r="U852" s="52"/>
      <c r="V852" s="52"/>
      <c r="W852" s="52"/>
      <c r="X852" s="52"/>
    </row>
    <row r="853">
      <c r="A853" s="52"/>
      <c r="B853" s="60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4"/>
      <c r="R853" s="52"/>
      <c r="S853" s="52"/>
      <c r="T853" s="52"/>
      <c r="U853" s="52"/>
      <c r="V853" s="52"/>
      <c r="W853" s="52"/>
      <c r="X853" s="52"/>
    </row>
    <row r="854">
      <c r="A854" s="52"/>
      <c r="B854" s="60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4"/>
      <c r="R854" s="52"/>
      <c r="S854" s="52"/>
      <c r="T854" s="52"/>
      <c r="U854" s="52"/>
      <c r="V854" s="52"/>
      <c r="W854" s="52"/>
      <c r="X854" s="52"/>
    </row>
    <row r="855">
      <c r="A855" s="52"/>
      <c r="B855" s="60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4"/>
      <c r="R855" s="52"/>
      <c r="S855" s="52"/>
      <c r="T855" s="52"/>
      <c r="U855" s="52"/>
      <c r="V855" s="52"/>
      <c r="W855" s="52"/>
      <c r="X855" s="52"/>
    </row>
    <row r="856">
      <c r="A856" s="52"/>
      <c r="B856" s="60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4"/>
      <c r="R856" s="52"/>
      <c r="S856" s="52"/>
      <c r="T856" s="52"/>
      <c r="U856" s="52"/>
      <c r="V856" s="52"/>
      <c r="W856" s="52"/>
      <c r="X856" s="52"/>
    </row>
    <row r="857">
      <c r="A857" s="52"/>
      <c r="B857" s="60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4"/>
      <c r="R857" s="52"/>
      <c r="S857" s="52"/>
      <c r="T857" s="52"/>
      <c r="U857" s="52"/>
      <c r="V857" s="52"/>
      <c r="W857" s="52"/>
      <c r="X857" s="52"/>
    </row>
    <row r="858">
      <c r="A858" s="52"/>
      <c r="B858" s="60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4"/>
      <c r="R858" s="52"/>
      <c r="S858" s="52"/>
      <c r="T858" s="52"/>
      <c r="U858" s="52"/>
      <c r="V858" s="52"/>
      <c r="W858" s="52"/>
      <c r="X858" s="52"/>
    </row>
    <row r="859">
      <c r="A859" s="52"/>
      <c r="B859" s="60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4"/>
      <c r="R859" s="52"/>
      <c r="S859" s="52"/>
      <c r="T859" s="52"/>
      <c r="U859" s="52"/>
      <c r="V859" s="52"/>
      <c r="W859" s="52"/>
      <c r="X859" s="52"/>
    </row>
    <row r="860">
      <c r="A860" s="52"/>
      <c r="B860" s="60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4"/>
      <c r="R860" s="52"/>
      <c r="S860" s="52"/>
      <c r="T860" s="52"/>
      <c r="U860" s="52"/>
      <c r="V860" s="52"/>
      <c r="W860" s="52"/>
      <c r="X860" s="52"/>
    </row>
    <row r="861">
      <c r="A861" s="52"/>
      <c r="B861" s="60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4"/>
      <c r="R861" s="52"/>
      <c r="S861" s="52"/>
      <c r="T861" s="52"/>
      <c r="U861" s="52"/>
      <c r="V861" s="52"/>
      <c r="W861" s="52"/>
      <c r="X861" s="52"/>
    </row>
    <row r="862">
      <c r="A862" s="52"/>
      <c r="B862" s="60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4"/>
      <c r="R862" s="52"/>
      <c r="S862" s="52"/>
      <c r="T862" s="52"/>
      <c r="U862" s="52"/>
      <c r="V862" s="52"/>
      <c r="W862" s="52"/>
      <c r="X862" s="52"/>
    </row>
    <row r="863">
      <c r="A863" s="52"/>
      <c r="B863" s="60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4"/>
      <c r="R863" s="52"/>
      <c r="S863" s="52"/>
      <c r="T863" s="52"/>
      <c r="U863" s="52"/>
      <c r="V863" s="52"/>
      <c r="W863" s="52"/>
      <c r="X863" s="52"/>
    </row>
    <row r="864">
      <c r="A864" s="52"/>
      <c r="B864" s="60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4"/>
      <c r="R864" s="52"/>
      <c r="S864" s="52"/>
      <c r="T864" s="52"/>
      <c r="U864" s="52"/>
      <c r="V864" s="52"/>
      <c r="W864" s="52"/>
      <c r="X864" s="52"/>
    </row>
    <row r="865">
      <c r="A865" s="52"/>
      <c r="B865" s="60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4"/>
      <c r="R865" s="52"/>
      <c r="S865" s="52"/>
      <c r="T865" s="52"/>
      <c r="U865" s="52"/>
      <c r="V865" s="52"/>
      <c r="W865" s="52"/>
      <c r="X865" s="52"/>
    </row>
    <row r="866">
      <c r="A866" s="52"/>
      <c r="B866" s="60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4"/>
      <c r="R866" s="52"/>
      <c r="S866" s="52"/>
      <c r="T866" s="52"/>
      <c r="U866" s="52"/>
      <c r="V866" s="52"/>
      <c r="W866" s="52"/>
      <c r="X866" s="52"/>
    </row>
    <row r="867">
      <c r="A867" s="52"/>
      <c r="B867" s="60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4"/>
      <c r="R867" s="52"/>
      <c r="S867" s="52"/>
      <c r="T867" s="52"/>
      <c r="U867" s="52"/>
      <c r="V867" s="52"/>
      <c r="W867" s="52"/>
      <c r="X867" s="52"/>
    </row>
    <row r="868">
      <c r="A868" s="52"/>
      <c r="B868" s="60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4"/>
      <c r="R868" s="52"/>
      <c r="S868" s="52"/>
      <c r="T868" s="52"/>
      <c r="U868" s="52"/>
      <c r="V868" s="52"/>
      <c r="W868" s="52"/>
      <c r="X868" s="52"/>
    </row>
    <row r="869">
      <c r="A869" s="52"/>
      <c r="B869" s="60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4"/>
      <c r="R869" s="52"/>
      <c r="S869" s="52"/>
      <c r="T869" s="52"/>
      <c r="U869" s="52"/>
      <c r="V869" s="52"/>
      <c r="W869" s="52"/>
      <c r="X869" s="52"/>
    </row>
    <row r="870">
      <c r="A870" s="52"/>
      <c r="B870" s="60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4"/>
      <c r="R870" s="52"/>
      <c r="S870" s="52"/>
      <c r="T870" s="52"/>
      <c r="U870" s="52"/>
      <c r="V870" s="52"/>
      <c r="W870" s="52"/>
      <c r="X870" s="52"/>
    </row>
    <row r="871">
      <c r="A871" s="52"/>
      <c r="B871" s="60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4"/>
      <c r="R871" s="52"/>
      <c r="S871" s="52"/>
      <c r="T871" s="52"/>
      <c r="U871" s="52"/>
      <c r="V871" s="52"/>
      <c r="W871" s="52"/>
      <c r="X871" s="52"/>
    </row>
    <row r="872">
      <c r="A872" s="52"/>
      <c r="B872" s="60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4"/>
      <c r="R872" s="52"/>
      <c r="S872" s="52"/>
      <c r="T872" s="52"/>
      <c r="U872" s="52"/>
      <c r="V872" s="52"/>
      <c r="W872" s="52"/>
      <c r="X872" s="52"/>
    </row>
    <row r="873">
      <c r="A873" s="52"/>
      <c r="B873" s="60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4"/>
      <c r="R873" s="52"/>
      <c r="S873" s="52"/>
      <c r="T873" s="52"/>
      <c r="U873" s="52"/>
      <c r="V873" s="52"/>
      <c r="W873" s="52"/>
      <c r="X873" s="52"/>
    </row>
    <row r="874">
      <c r="A874" s="52"/>
      <c r="B874" s="60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4"/>
      <c r="R874" s="52"/>
      <c r="S874" s="52"/>
      <c r="T874" s="52"/>
      <c r="U874" s="52"/>
      <c r="V874" s="52"/>
      <c r="W874" s="52"/>
      <c r="X874" s="52"/>
    </row>
    <row r="875">
      <c r="A875" s="52"/>
      <c r="B875" s="60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4"/>
      <c r="R875" s="52"/>
      <c r="S875" s="52"/>
      <c r="T875" s="52"/>
      <c r="U875" s="52"/>
      <c r="V875" s="52"/>
      <c r="W875" s="52"/>
      <c r="X875" s="52"/>
    </row>
    <row r="876">
      <c r="A876" s="52"/>
      <c r="B876" s="60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4"/>
      <c r="R876" s="52"/>
      <c r="S876" s="52"/>
      <c r="T876" s="52"/>
      <c r="U876" s="52"/>
      <c r="V876" s="52"/>
      <c r="W876" s="52"/>
      <c r="X876" s="52"/>
    </row>
    <row r="877">
      <c r="A877" s="52"/>
      <c r="B877" s="60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4"/>
      <c r="R877" s="52"/>
      <c r="S877" s="52"/>
      <c r="T877" s="52"/>
      <c r="U877" s="52"/>
      <c r="V877" s="52"/>
      <c r="W877" s="52"/>
      <c r="X877" s="52"/>
    </row>
    <row r="878">
      <c r="A878" s="52"/>
      <c r="B878" s="60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4"/>
      <c r="R878" s="52"/>
      <c r="S878" s="52"/>
      <c r="T878" s="52"/>
      <c r="U878" s="52"/>
      <c r="V878" s="52"/>
      <c r="W878" s="52"/>
      <c r="X878" s="52"/>
    </row>
    <row r="879">
      <c r="A879" s="52"/>
      <c r="B879" s="60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4"/>
      <c r="R879" s="52"/>
      <c r="S879" s="52"/>
      <c r="T879" s="52"/>
      <c r="U879" s="52"/>
      <c r="V879" s="52"/>
      <c r="W879" s="52"/>
      <c r="X879" s="52"/>
    </row>
    <row r="880">
      <c r="A880" s="52"/>
      <c r="B880" s="60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4"/>
      <c r="R880" s="52"/>
      <c r="S880" s="52"/>
      <c r="T880" s="52"/>
      <c r="U880" s="52"/>
      <c r="V880" s="52"/>
      <c r="W880" s="52"/>
      <c r="X880" s="52"/>
    </row>
    <row r="881">
      <c r="A881" s="52"/>
      <c r="B881" s="60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4"/>
      <c r="R881" s="52"/>
      <c r="S881" s="52"/>
      <c r="T881" s="52"/>
      <c r="U881" s="52"/>
      <c r="V881" s="52"/>
      <c r="W881" s="52"/>
      <c r="X881" s="52"/>
    </row>
    <row r="882">
      <c r="A882" s="52"/>
      <c r="B882" s="60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4"/>
      <c r="R882" s="52"/>
      <c r="S882" s="52"/>
      <c r="T882" s="52"/>
      <c r="U882" s="52"/>
      <c r="V882" s="52"/>
      <c r="W882" s="52"/>
      <c r="X882" s="52"/>
    </row>
    <row r="883">
      <c r="A883" s="52"/>
      <c r="B883" s="60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4"/>
      <c r="R883" s="52"/>
      <c r="S883" s="52"/>
      <c r="T883" s="52"/>
      <c r="U883" s="52"/>
      <c r="V883" s="52"/>
      <c r="W883" s="52"/>
      <c r="X883" s="52"/>
    </row>
    <row r="884">
      <c r="A884" s="52"/>
      <c r="B884" s="60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4"/>
      <c r="R884" s="52"/>
      <c r="S884" s="52"/>
      <c r="T884" s="52"/>
      <c r="U884" s="52"/>
      <c r="V884" s="52"/>
      <c r="W884" s="52"/>
      <c r="X884" s="52"/>
    </row>
    <row r="885">
      <c r="A885" s="52"/>
      <c r="B885" s="60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4"/>
      <c r="R885" s="52"/>
      <c r="S885" s="52"/>
      <c r="T885" s="52"/>
      <c r="U885" s="52"/>
      <c r="V885" s="52"/>
      <c r="W885" s="52"/>
      <c r="X885" s="52"/>
    </row>
    <row r="886">
      <c r="A886" s="52"/>
      <c r="B886" s="60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4"/>
      <c r="R886" s="52"/>
      <c r="S886" s="52"/>
      <c r="T886" s="52"/>
      <c r="U886" s="52"/>
      <c r="V886" s="52"/>
      <c r="W886" s="52"/>
      <c r="X886" s="52"/>
    </row>
    <row r="887">
      <c r="A887" s="52"/>
      <c r="B887" s="60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4"/>
      <c r="R887" s="52"/>
      <c r="S887" s="52"/>
      <c r="T887" s="52"/>
      <c r="U887" s="52"/>
      <c r="V887" s="52"/>
      <c r="W887" s="52"/>
      <c r="X887" s="52"/>
    </row>
    <row r="888">
      <c r="A888" s="52"/>
      <c r="B888" s="60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4"/>
      <c r="R888" s="52"/>
      <c r="S888" s="52"/>
      <c r="T888" s="52"/>
      <c r="U888" s="52"/>
      <c r="V888" s="52"/>
      <c r="W888" s="52"/>
      <c r="X888" s="52"/>
    </row>
    <row r="889">
      <c r="A889" s="52"/>
      <c r="B889" s="60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4"/>
      <c r="R889" s="52"/>
      <c r="S889" s="52"/>
      <c r="T889" s="52"/>
      <c r="U889" s="52"/>
      <c r="V889" s="52"/>
      <c r="W889" s="52"/>
      <c r="X889" s="52"/>
    </row>
    <row r="890">
      <c r="A890" s="52"/>
      <c r="B890" s="60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4"/>
      <c r="R890" s="52"/>
      <c r="S890" s="52"/>
      <c r="T890" s="52"/>
      <c r="U890" s="52"/>
      <c r="V890" s="52"/>
      <c r="W890" s="52"/>
      <c r="X890" s="52"/>
    </row>
    <row r="891">
      <c r="A891" s="52"/>
      <c r="B891" s="60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4"/>
      <c r="R891" s="52"/>
      <c r="S891" s="52"/>
      <c r="T891" s="52"/>
      <c r="U891" s="52"/>
      <c r="V891" s="52"/>
      <c r="W891" s="52"/>
      <c r="X891" s="52"/>
    </row>
    <row r="892">
      <c r="A892" s="52"/>
      <c r="B892" s="60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4"/>
      <c r="R892" s="52"/>
      <c r="S892" s="52"/>
      <c r="T892" s="52"/>
      <c r="U892" s="52"/>
      <c r="V892" s="52"/>
      <c r="W892" s="52"/>
      <c r="X892" s="52"/>
    </row>
    <row r="893">
      <c r="A893" s="52"/>
      <c r="B893" s="60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4"/>
      <c r="R893" s="52"/>
      <c r="S893" s="52"/>
      <c r="T893" s="52"/>
      <c r="U893" s="52"/>
      <c r="V893" s="52"/>
      <c r="W893" s="52"/>
      <c r="X893" s="52"/>
    </row>
    <row r="894">
      <c r="A894" s="52"/>
      <c r="B894" s="60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4"/>
      <c r="R894" s="52"/>
      <c r="S894" s="52"/>
      <c r="T894" s="52"/>
      <c r="U894" s="52"/>
      <c r="V894" s="52"/>
      <c r="W894" s="52"/>
      <c r="X894" s="52"/>
    </row>
    <row r="895">
      <c r="A895" s="52"/>
      <c r="B895" s="60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4"/>
      <c r="R895" s="52"/>
      <c r="S895" s="52"/>
      <c r="T895" s="52"/>
      <c r="U895" s="52"/>
      <c r="V895" s="52"/>
      <c r="W895" s="52"/>
      <c r="X895" s="52"/>
    </row>
    <row r="896">
      <c r="A896" s="52"/>
      <c r="B896" s="60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4"/>
      <c r="R896" s="52"/>
      <c r="S896" s="52"/>
      <c r="T896" s="52"/>
      <c r="U896" s="52"/>
      <c r="V896" s="52"/>
      <c r="W896" s="52"/>
      <c r="X896" s="52"/>
    </row>
    <row r="897">
      <c r="A897" s="52"/>
      <c r="B897" s="60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4"/>
      <c r="R897" s="52"/>
      <c r="S897" s="52"/>
      <c r="T897" s="52"/>
      <c r="U897" s="52"/>
      <c r="V897" s="52"/>
      <c r="W897" s="52"/>
      <c r="X897" s="52"/>
    </row>
    <row r="898">
      <c r="A898" s="52"/>
      <c r="B898" s="60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4"/>
      <c r="R898" s="52"/>
      <c r="S898" s="52"/>
      <c r="T898" s="52"/>
      <c r="U898" s="52"/>
      <c r="V898" s="52"/>
      <c r="W898" s="52"/>
      <c r="X898" s="52"/>
    </row>
    <row r="899">
      <c r="A899" s="52"/>
      <c r="B899" s="60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4"/>
      <c r="R899" s="52"/>
      <c r="S899" s="52"/>
      <c r="T899" s="52"/>
      <c r="U899" s="52"/>
      <c r="V899" s="52"/>
      <c r="W899" s="52"/>
      <c r="X899" s="52"/>
    </row>
    <row r="900">
      <c r="A900" s="52"/>
      <c r="B900" s="60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4"/>
      <c r="R900" s="52"/>
      <c r="S900" s="52"/>
      <c r="T900" s="52"/>
      <c r="U900" s="52"/>
      <c r="V900" s="52"/>
      <c r="W900" s="52"/>
      <c r="X900" s="52"/>
    </row>
    <row r="901">
      <c r="A901" s="52"/>
      <c r="B901" s="60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4"/>
      <c r="R901" s="52"/>
      <c r="S901" s="52"/>
      <c r="T901" s="52"/>
      <c r="U901" s="52"/>
      <c r="V901" s="52"/>
      <c r="W901" s="52"/>
      <c r="X901" s="52"/>
    </row>
    <row r="902">
      <c r="A902" s="52"/>
      <c r="B902" s="60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4"/>
      <c r="R902" s="52"/>
      <c r="S902" s="52"/>
      <c r="T902" s="52"/>
      <c r="U902" s="52"/>
      <c r="V902" s="52"/>
      <c r="W902" s="52"/>
      <c r="X902" s="52"/>
    </row>
    <row r="903">
      <c r="A903" s="52"/>
      <c r="B903" s="60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4"/>
      <c r="R903" s="52"/>
      <c r="S903" s="52"/>
      <c r="T903" s="52"/>
      <c r="U903" s="52"/>
      <c r="V903" s="52"/>
      <c r="W903" s="52"/>
      <c r="X903" s="52"/>
    </row>
    <row r="904">
      <c r="A904" s="52"/>
      <c r="B904" s="60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4"/>
      <c r="R904" s="52"/>
      <c r="S904" s="52"/>
      <c r="T904" s="52"/>
      <c r="U904" s="52"/>
      <c r="V904" s="52"/>
      <c r="W904" s="52"/>
      <c r="X904" s="52"/>
    </row>
    <row r="905">
      <c r="A905" s="52"/>
      <c r="B905" s="60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4"/>
      <c r="R905" s="52"/>
      <c r="S905" s="52"/>
      <c r="T905" s="52"/>
      <c r="U905" s="52"/>
      <c r="V905" s="52"/>
      <c r="W905" s="52"/>
      <c r="X905" s="52"/>
    </row>
    <row r="906">
      <c r="A906" s="52"/>
      <c r="B906" s="60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4"/>
      <c r="R906" s="52"/>
      <c r="S906" s="52"/>
      <c r="T906" s="52"/>
      <c r="U906" s="52"/>
      <c r="V906" s="52"/>
      <c r="W906" s="52"/>
      <c r="X906" s="52"/>
    </row>
    <row r="907">
      <c r="A907" s="52"/>
      <c r="B907" s="60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4"/>
      <c r="R907" s="52"/>
      <c r="S907" s="52"/>
      <c r="T907" s="52"/>
      <c r="U907" s="52"/>
      <c r="V907" s="52"/>
      <c r="W907" s="52"/>
      <c r="X907" s="52"/>
    </row>
    <row r="908">
      <c r="A908" s="52"/>
      <c r="B908" s="60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4"/>
      <c r="R908" s="52"/>
      <c r="S908" s="52"/>
      <c r="T908" s="52"/>
      <c r="U908" s="52"/>
      <c r="V908" s="52"/>
      <c r="W908" s="52"/>
      <c r="X908" s="52"/>
    </row>
    <row r="909">
      <c r="A909" s="52"/>
      <c r="B909" s="60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4"/>
      <c r="R909" s="52"/>
      <c r="S909" s="52"/>
      <c r="T909" s="52"/>
      <c r="U909" s="52"/>
      <c r="V909" s="52"/>
      <c r="W909" s="52"/>
      <c r="X909" s="52"/>
    </row>
    <row r="910">
      <c r="A910" s="52"/>
      <c r="B910" s="60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4"/>
      <c r="R910" s="52"/>
      <c r="S910" s="52"/>
      <c r="T910" s="52"/>
      <c r="U910" s="52"/>
      <c r="V910" s="52"/>
      <c r="W910" s="52"/>
      <c r="X910" s="52"/>
    </row>
    <row r="911">
      <c r="A911" s="52"/>
      <c r="B911" s="60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4"/>
      <c r="R911" s="52"/>
      <c r="S911" s="52"/>
      <c r="T911" s="52"/>
      <c r="U911" s="52"/>
      <c r="V911" s="52"/>
      <c r="W911" s="52"/>
      <c r="X911" s="52"/>
    </row>
    <row r="912">
      <c r="A912" s="52"/>
      <c r="B912" s="60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4"/>
      <c r="R912" s="52"/>
      <c r="S912" s="52"/>
      <c r="T912" s="52"/>
      <c r="U912" s="52"/>
      <c r="V912" s="52"/>
      <c r="W912" s="52"/>
      <c r="X912" s="52"/>
    </row>
    <row r="913">
      <c r="A913" s="52"/>
      <c r="B913" s="60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4"/>
      <c r="R913" s="52"/>
      <c r="S913" s="52"/>
      <c r="T913" s="52"/>
      <c r="U913" s="52"/>
      <c r="V913" s="52"/>
      <c r="W913" s="52"/>
      <c r="X913" s="52"/>
    </row>
    <row r="914">
      <c r="A914" s="52"/>
      <c r="B914" s="60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4"/>
      <c r="R914" s="52"/>
      <c r="S914" s="52"/>
      <c r="T914" s="52"/>
      <c r="U914" s="52"/>
      <c r="V914" s="52"/>
      <c r="W914" s="52"/>
      <c r="X914" s="52"/>
    </row>
    <row r="915">
      <c r="A915" s="52"/>
      <c r="B915" s="60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4"/>
      <c r="R915" s="52"/>
      <c r="S915" s="52"/>
      <c r="T915" s="52"/>
      <c r="U915" s="52"/>
      <c r="V915" s="52"/>
      <c r="W915" s="52"/>
      <c r="X915" s="52"/>
    </row>
    <row r="916">
      <c r="A916" s="52"/>
      <c r="B916" s="60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4"/>
      <c r="R916" s="52"/>
      <c r="S916" s="52"/>
      <c r="T916" s="52"/>
      <c r="U916" s="52"/>
      <c r="V916" s="52"/>
      <c r="W916" s="52"/>
      <c r="X916" s="52"/>
    </row>
    <row r="917">
      <c r="A917" s="52"/>
      <c r="B917" s="60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4"/>
      <c r="R917" s="52"/>
      <c r="S917" s="52"/>
      <c r="T917" s="52"/>
      <c r="U917" s="52"/>
      <c r="V917" s="52"/>
      <c r="W917" s="52"/>
      <c r="X917" s="52"/>
    </row>
    <row r="918">
      <c r="A918" s="52"/>
      <c r="B918" s="60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4"/>
      <c r="R918" s="52"/>
      <c r="S918" s="52"/>
      <c r="T918" s="52"/>
      <c r="U918" s="52"/>
      <c r="V918" s="52"/>
      <c r="W918" s="52"/>
      <c r="X918" s="52"/>
    </row>
    <row r="919">
      <c r="A919" s="52"/>
      <c r="B919" s="60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4"/>
      <c r="R919" s="52"/>
      <c r="S919" s="52"/>
      <c r="T919" s="52"/>
      <c r="U919" s="52"/>
      <c r="V919" s="52"/>
      <c r="W919" s="52"/>
      <c r="X919" s="52"/>
    </row>
    <row r="920">
      <c r="A920" s="52"/>
      <c r="B920" s="60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4"/>
      <c r="R920" s="52"/>
      <c r="S920" s="52"/>
      <c r="T920" s="52"/>
      <c r="U920" s="52"/>
      <c r="V920" s="52"/>
      <c r="W920" s="52"/>
      <c r="X920" s="52"/>
    </row>
    <row r="921">
      <c r="A921" s="52"/>
      <c r="B921" s="60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4"/>
      <c r="R921" s="52"/>
      <c r="S921" s="52"/>
      <c r="T921" s="52"/>
      <c r="U921" s="52"/>
      <c r="V921" s="52"/>
      <c r="W921" s="52"/>
      <c r="X921" s="52"/>
    </row>
    <row r="922">
      <c r="A922" s="52"/>
      <c r="B922" s="60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4"/>
      <c r="R922" s="52"/>
      <c r="S922" s="52"/>
      <c r="T922" s="52"/>
      <c r="U922" s="52"/>
      <c r="V922" s="52"/>
      <c r="W922" s="52"/>
      <c r="X922" s="52"/>
    </row>
    <row r="923">
      <c r="A923" s="52"/>
      <c r="B923" s="60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4"/>
      <c r="R923" s="52"/>
      <c r="S923" s="52"/>
      <c r="T923" s="52"/>
      <c r="U923" s="52"/>
      <c r="V923" s="52"/>
      <c r="W923" s="52"/>
      <c r="X923" s="52"/>
    </row>
    <row r="924">
      <c r="A924" s="52"/>
      <c r="B924" s="60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4"/>
      <c r="R924" s="52"/>
      <c r="S924" s="52"/>
      <c r="T924" s="52"/>
      <c r="U924" s="52"/>
      <c r="V924" s="52"/>
      <c r="W924" s="52"/>
      <c r="X924" s="52"/>
    </row>
    <row r="925">
      <c r="A925" s="52"/>
      <c r="B925" s="60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4"/>
      <c r="R925" s="52"/>
      <c r="S925" s="52"/>
      <c r="T925" s="52"/>
      <c r="U925" s="52"/>
      <c r="V925" s="52"/>
      <c r="W925" s="52"/>
      <c r="X925" s="52"/>
    </row>
    <row r="926">
      <c r="A926" s="52"/>
      <c r="B926" s="60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4"/>
      <c r="R926" s="52"/>
      <c r="S926" s="52"/>
      <c r="T926" s="52"/>
      <c r="U926" s="52"/>
      <c r="V926" s="52"/>
      <c r="W926" s="52"/>
      <c r="X926" s="52"/>
    </row>
    <row r="927">
      <c r="A927" s="52"/>
      <c r="B927" s="60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4"/>
      <c r="R927" s="52"/>
      <c r="S927" s="52"/>
      <c r="T927" s="52"/>
      <c r="U927" s="52"/>
      <c r="V927" s="52"/>
      <c r="W927" s="52"/>
      <c r="X927" s="52"/>
    </row>
    <row r="928">
      <c r="A928" s="52"/>
      <c r="B928" s="60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4"/>
      <c r="R928" s="52"/>
      <c r="S928" s="52"/>
      <c r="T928" s="52"/>
      <c r="U928" s="52"/>
      <c r="V928" s="52"/>
      <c r="W928" s="52"/>
      <c r="X928" s="52"/>
    </row>
    <row r="929">
      <c r="A929" s="52"/>
      <c r="B929" s="60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4"/>
      <c r="R929" s="52"/>
      <c r="S929" s="52"/>
      <c r="T929" s="52"/>
      <c r="U929" s="52"/>
      <c r="V929" s="52"/>
      <c r="W929" s="52"/>
      <c r="X929" s="52"/>
    </row>
    <row r="930">
      <c r="A930" s="52"/>
      <c r="B930" s="60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4"/>
      <c r="R930" s="52"/>
      <c r="S930" s="52"/>
      <c r="T930" s="52"/>
      <c r="U930" s="52"/>
      <c r="V930" s="52"/>
      <c r="W930" s="52"/>
      <c r="X930" s="52"/>
    </row>
    <row r="931">
      <c r="A931" s="52"/>
      <c r="B931" s="60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4"/>
      <c r="R931" s="52"/>
      <c r="S931" s="52"/>
      <c r="T931" s="52"/>
      <c r="U931" s="52"/>
      <c r="V931" s="52"/>
      <c r="W931" s="52"/>
      <c r="X931" s="52"/>
    </row>
    <row r="932">
      <c r="A932" s="52"/>
      <c r="B932" s="60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4"/>
      <c r="R932" s="52"/>
      <c r="S932" s="52"/>
      <c r="T932" s="52"/>
      <c r="U932" s="52"/>
      <c r="V932" s="52"/>
      <c r="W932" s="52"/>
      <c r="X932" s="52"/>
    </row>
    <row r="933">
      <c r="A933" s="52"/>
      <c r="B933" s="60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4"/>
      <c r="R933" s="52"/>
      <c r="S933" s="52"/>
      <c r="T933" s="52"/>
      <c r="U933" s="52"/>
      <c r="V933" s="52"/>
      <c r="W933" s="52"/>
      <c r="X933" s="52"/>
    </row>
    <row r="934">
      <c r="A934" s="52"/>
      <c r="B934" s="60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4"/>
      <c r="R934" s="52"/>
      <c r="S934" s="52"/>
      <c r="T934" s="52"/>
      <c r="U934" s="52"/>
      <c r="V934" s="52"/>
      <c r="W934" s="52"/>
      <c r="X934" s="52"/>
    </row>
    <row r="935">
      <c r="A935" s="52"/>
      <c r="B935" s="60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4"/>
      <c r="R935" s="52"/>
      <c r="S935" s="52"/>
      <c r="T935" s="52"/>
      <c r="U935" s="52"/>
      <c r="V935" s="52"/>
      <c r="W935" s="52"/>
      <c r="X935" s="52"/>
    </row>
    <row r="936">
      <c r="A936" s="52"/>
      <c r="B936" s="60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4"/>
      <c r="R936" s="52"/>
      <c r="S936" s="52"/>
      <c r="T936" s="52"/>
      <c r="U936" s="52"/>
      <c r="V936" s="52"/>
      <c r="W936" s="52"/>
      <c r="X936" s="52"/>
    </row>
    <row r="937">
      <c r="A937" s="52"/>
      <c r="B937" s="60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4"/>
      <c r="R937" s="52"/>
      <c r="S937" s="52"/>
      <c r="T937" s="52"/>
      <c r="U937" s="52"/>
      <c r="V937" s="52"/>
      <c r="W937" s="52"/>
      <c r="X937" s="52"/>
    </row>
    <row r="938">
      <c r="A938" s="52"/>
      <c r="B938" s="60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4"/>
      <c r="R938" s="52"/>
      <c r="S938" s="52"/>
      <c r="T938" s="52"/>
      <c r="U938" s="52"/>
      <c r="V938" s="52"/>
      <c r="W938" s="52"/>
      <c r="X938" s="52"/>
    </row>
    <row r="939">
      <c r="A939" s="52"/>
      <c r="B939" s="60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4"/>
      <c r="R939" s="52"/>
      <c r="S939" s="52"/>
      <c r="T939" s="52"/>
      <c r="U939" s="52"/>
      <c r="V939" s="52"/>
      <c r="W939" s="52"/>
      <c r="X939" s="52"/>
    </row>
    <row r="940">
      <c r="A940" s="52"/>
      <c r="B940" s="60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4"/>
      <c r="R940" s="52"/>
      <c r="S940" s="52"/>
      <c r="T940" s="52"/>
      <c r="U940" s="52"/>
      <c r="V940" s="52"/>
      <c r="W940" s="52"/>
      <c r="X940" s="52"/>
    </row>
    <row r="941">
      <c r="A941" s="52"/>
      <c r="B941" s="60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4"/>
      <c r="R941" s="52"/>
      <c r="S941" s="52"/>
      <c r="T941" s="52"/>
      <c r="U941" s="52"/>
      <c r="V941" s="52"/>
      <c r="W941" s="52"/>
      <c r="X941" s="52"/>
    </row>
    <row r="942">
      <c r="A942" s="52"/>
      <c r="B942" s="60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4"/>
      <c r="R942" s="52"/>
      <c r="S942" s="52"/>
      <c r="T942" s="52"/>
      <c r="U942" s="52"/>
      <c r="V942" s="52"/>
      <c r="W942" s="52"/>
      <c r="X942" s="52"/>
    </row>
    <row r="943">
      <c r="A943" s="52"/>
      <c r="B943" s="60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4"/>
      <c r="R943" s="52"/>
      <c r="S943" s="52"/>
      <c r="T943" s="52"/>
      <c r="U943" s="52"/>
      <c r="V943" s="52"/>
      <c r="W943" s="52"/>
      <c r="X943" s="52"/>
    </row>
    <row r="944">
      <c r="A944" s="52"/>
      <c r="B944" s="60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4"/>
      <c r="R944" s="52"/>
      <c r="S944" s="52"/>
      <c r="T944" s="52"/>
      <c r="U944" s="52"/>
      <c r="V944" s="52"/>
      <c r="W944" s="52"/>
      <c r="X944" s="52"/>
    </row>
    <row r="945">
      <c r="A945" s="52"/>
      <c r="B945" s="60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4"/>
      <c r="R945" s="52"/>
      <c r="S945" s="52"/>
      <c r="T945" s="52"/>
      <c r="U945" s="52"/>
      <c r="V945" s="52"/>
      <c r="W945" s="52"/>
      <c r="X945" s="52"/>
    </row>
    <row r="946">
      <c r="A946" s="52"/>
      <c r="B946" s="60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4"/>
      <c r="R946" s="52"/>
      <c r="S946" s="52"/>
      <c r="T946" s="52"/>
      <c r="U946" s="52"/>
      <c r="V946" s="52"/>
      <c r="W946" s="52"/>
      <c r="X946" s="52"/>
    </row>
    <row r="947">
      <c r="A947" s="52"/>
      <c r="B947" s="60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4"/>
      <c r="R947" s="52"/>
      <c r="S947" s="52"/>
      <c r="T947" s="52"/>
      <c r="U947" s="52"/>
      <c r="V947" s="52"/>
      <c r="W947" s="52"/>
      <c r="X947" s="52"/>
    </row>
    <row r="948">
      <c r="A948" s="52"/>
      <c r="B948" s="60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4"/>
      <c r="R948" s="52"/>
      <c r="S948" s="52"/>
      <c r="T948" s="52"/>
      <c r="U948" s="52"/>
      <c r="V948" s="52"/>
      <c r="W948" s="52"/>
      <c r="X948" s="52"/>
    </row>
    <row r="949">
      <c r="A949" s="52"/>
      <c r="B949" s="60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4"/>
      <c r="R949" s="52"/>
      <c r="S949" s="52"/>
      <c r="T949" s="52"/>
      <c r="U949" s="52"/>
      <c r="V949" s="52"/>
      <c r="W949" s="52"/>
      <c r="X949" s="52"/>
    </row>
    <row r="950">
      <c r="A950" s="52"/>
      <c r="B950" s="60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4"/>
      <c r="R950" s="52"/>
      <c r="S950" s="52"/>
      <c r="T950" s="52"/>
      <c r="U950" s="52"/>
      <c r="V950" s="52"/>
      <c r="W950" s="52"/>
      <c r="X950" s="52"/>
    </row>
    <row r="951">
      <c r="A951" s="52"/>
      <c r="B951" s="60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4"/>
      <c r="R951" s="52"/>
      <c r="S951" s="52"/>
      <c r="T951" s="52"/>
      <c r="U951" s="52"/>
      <c r="V951" s="52"/>
      <c r="W951" s="52"/>
      <c r="X951" s="52"/>
    </row>
    <row r="952">
      <c r="A952" s="52"/>
      <c r="B952" s="60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4"/>
      <c r="R952" s="52"/>
      <c r="S952" s="52"/>
      <c r="T952" s="52"/>
      <c r="U952" s="52"/>
      <c r="V952" s="52"/>
      <c r="W952" s="52"/>
      <c r="X952" s="52"/>
    </row>
    <row r="953">
      <c r="A953" s="52"/>
      <c r="B953" s="60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4"/>
      <c r="R953" s="52"/>
      <c r="S953" s="52"/>
      <c r="T953" s="52"/>
      <c r="U953" s="52"/>
      <c r="V953" s="52"/>
      <c r="W953" s="52"/>
      <c r="X953" s="52"/>
    </row>
    <row r="954">
      <c r="A954" s="52"/>
      <c r="B954" s="60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4"/>
      <c r="R954" s="52"/>
      <c r="S954" s="52"/>
      <c r="T954" s="52"/>
      <c r="U954" s="52"/>
      <c r="V954" s="52"/>
      <c r="W954" s="52"/>
      <c r="X954" s="52"/>
    </row>
    <row r="955">
      <c r="A955" s="52"/>
      <c r="B955" s="60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4"/>
      <c r="R955" s="52"/>
      <c r="S955" s="52"/>
      <c r="T955" s="52"/>
      <c r="U955" s="52"/>
      <c r="V955" s="52"/>
      <c r="W955" s="52"/>
      <c r="X955" s="52"/>
    </row>
    <row r="956">
      <c r="A956" s="52"/>
      <c r="B956" s="60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4"/>
      <c r="R956" s="52"/>
      <c r="S956" s="52"/>
      <c r="T956" s="52"/>
      <c r="U956" s="52"/>
      <c r="V956" s="52"/>
      <c r="W956" s="52"/>
      <c r="X956" s="52"/>
    </row>
    <row r="957">
      <c r="A957" s="52"/>
      <c r="B957" s="60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4"/>
      <c r="R957" s="52"/>
      <c r="S957" s="52"/>
      <c r="T957" s="52"/>
      <c r="U957" s="52"/>
      <c r="V957" s="52"/>
      <c r="W957" s="52"/>
      <c r="X957" s="52"/>
    </row>
    <row r="958">
      <c r="A958" s="52"/>
      <c r="B958" s="60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4"/>
      <c r="R958" s="52"/>
      <c r="S958" s="52"/>
      <c r="T958" s="52"/>
      <c r="U958" s="52"/>
      <c r="V958" s="52"/>
      <c r="W958" s="52"/>
      <c r="X958" s="52"/>
    </row>
    <row r="959">
      <c r="A959" s="52"/>
      <c r="B959" s="60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4"/>
      <c r="R959" s="52"/>
      <c r="S959" s="52"/>
      <c r="T959" s="52"/>
      <c r="U959" s="52"/>
      <c r="V959" s="52"/>
      <c r="W959" s="52"/>
      <c r="X959" s="52"/>
    </row>
    <row r="960">
      <c r="A960" s="52"/>
      <c r="B960" s="60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4"/>
      <c r="R960" s="52"/>
      <c r="S960" s="52"/>
      <c r="T960" s="52"/>
      <c r="U960" s="52"/>
      <c r="V960" s="52"/>
      <c r="W960" s="52"/>
      <c r="X960" s="52"/>
    </row>
    <row r="961">
      <c r="A961" s="52"/>
      <c r="B961" s="60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4"/>
      <c r="R961" s="52"/>
      <c r="S961" s="52"/>
      <c r="T961" s="52"/>
      <c r="U961" s="52"/>
      <c r="V961" s="52"/>
      <c r="W961" s="52"/>
      <c r="X961" s="52"/>
    </row>
    <row r="962">
      <c r="A962" s="52"/>
      <c r="B962" s="60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4"/>
      <c r="R962" s="52"/>
      <c r="S962" s="52"/>
      <c r="T962" s="52"/>
      <c r="U962" s="52"/>
      <c r="V962" s="52"/>
      <c r="W962" s="52"/>
      <c r="X962" s="52"/>
    </row>
    <row r="963">
      <c r="A963" s="52"/>
      <c r="B963" s="60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4"/>
      <c r="R963" s="52"/>
      <c r="S963" s="52"/>
      <c r="T963" s="52"/>
      <c r="U963" s="52"/>
      <c r="V963" s="52"/>
      <c r="W963" s="52"/>
      <c r="X963" s="52"/>
    </row>
    <row r="964">
      <c r="A964" s="52"/>
      <c r="B964" s="60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4"/>
      <c r="R964" s="52"/>
      <c r="S964" s="52"/>
      <c r="T964" s="52"/>
      <c r="U964" s="52"/>
      <c r="V964" s="52"/>
      <c r="W964" s="52"/>
      <c r="X964" s="52"/>
    </row>
    <row r="965">
      <c r="A965" s="52"/>
      <c r="B965" s="60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4"/>
      <c r="R965" s="52"/>
      <c r="S965" s="52"/>
      <c r="T965" s="52"/>
      <c r="U965" s="52"/>
      <c r="V965" s="52"/>
      <c r="W965" s="52"/>
      <c r="X965" s="52"/>
    </row>
    <row r="966">
      <c r="A966" s="52"/>
      <c r="B966" s="60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4"/>
      <c r="R966" s="52"/>
      <c r="S966" s="52"/>
      <c r="T966" s="52"/>
      <c r="U966" s="52"/>
      <c r="V966" s="52"/>
      <c r="W966" s="52"/>
      <c r="X966" s="52"/>
    </row>
    <row r="967">
      <c r="A967" s="52"/>
      <c r="B967" s="60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4"/>
      <c r="R967" s="52"/>
      <c r="S967" s="52"/>
      <c r="T967" s="52"/>
      <c r="U967" s="52"/>
      <c r="V967" s="52"/>
      <c r="W967" s="52"/>
      <c r="X967" s="52"/>
    </row>
    <row r="968">
      <c r="A968" s="52"/>
      <c r="B968" s="60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4"/>
      <c r="R968" s="52"/>
      <c r="S968" s="52"/>
      <c r="T968" s="52"/>
      <c r="U968" s="52"/>
      <c r="V968" s="52"/>
      <c r="W968" s="52"/>
      <c r="X968" s="52"/>
    </row>
    <row r="969">
      <c r="A969" s="52"/>
      <c r="B969" s="60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4"/>
      <c r="R969" s="52"/>
      <c r="S969" s="52"/>
      <c r="T969" s="52"/>
      <c r="U969" s="52"/>
      <c r="V969" s="52"/>
      <c r="W969" s="52"/>
      <c r="X969" s="52"/>
    </row>
    <row r="970">
      <c r="A970" s="52"/>
      <c r="B970" s="60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4"/>
      <c r="R970" s="52"/>
      <c r="S970" s="52"/>
      <c r="T970" s="52"/>
      <c r="U970" s="52"/>
      <c r="V970" s="52"/>
      <c r="W970" s="52"/>
      <c r="X970" s="52"/>
    </row>
    <row r="971">
      <c r="A971" s="52"/>
      <c r="B971" s="60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4"/>
      <c r="R971" s="52"/>
      <c r="S971" s="52"/>
      <c r="T971" s="52"/>
      <c r="U971" s="52"/>
      <c r="V971" s="52"/>
      <c r="W971" s="52"/>
      <c r="X971" s="52"/>
    </row>
    <row r="972">
      <c r="A972" s="52"/>
      <c r="B972" s="60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4"/>
      <c r="R972" s="52"/>
      <c r="S972" s="52"/>
      <c r="T972" s="52"/>
      <c r="U972" s="52"/>
      <c r="V972" s="52"/>
      <c r="W972" s="52"/>
      <c r="X972" s="52"/>
    </row>
    <row r="973">
      <c r="A973" s="52"/>
      <c r="B973" s="60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4"/>
      <c r="R973" s="52"/>
      <c r="S973" s="52"/>
      <c r="T973" s="52"/>
      <c r="U973" s="52"/>
      <c r="V973" s="52"/>
      <c r="W973" s="52"/>
      <c r="X973" s="52"/>
    </row>
    <row r="974">
      <c r="A974" s="52"/>
      <c r="B974" s="60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4"/>
      <c r="R974" s="52"/>
      <c r="S974" s="52"/>
      <c r="T974" s="52"/>
      <c r="U974" s="52"/>
      <c r="V974" s="52"/>
      <c r="W974" s="52"/>
      <c r="X974" s="52"/>
    </row>
    <row r="975">
      <c r="A975" s="52"/>
      <c r="B975" s="60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4"/>
      <c r="R975" s="52"/>
      <c r="S975" s="52"/>
      <c r="T975" s="52"/>
      <c r="U975" s="52"/>
      <c r="V975" s="52"/>
      <c r="W975" s="52"/>
      <c r="X975" s="52"/>
    </row>
    <row r="976">
      <c r="A976" s="52"/>
      <c r="B976" s="60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4"/>
      <c r="R976" s="52"/>
      <c r="S976" s="52"/>
      <c r="T976" s="52"/>
      <c r="U976" s="52"/>
      <c r="V976" s="52"/>
      <c r="W976" s="52"/>
      <c r="X976" s="52"/>
    </row>
    <row r="977">
      <c r="A977" s="52"/>
      <c r="B977" s="60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4"/>
      <c r="R977" s="52"/>
      <c r="S977" s="52"/>
      <c r="T977" s="52"/>
      <c r="U977" s="52"/>
      <c r="V977" s="52"/>
      <c r="W977" s="52"/>
      <c r="X977" s="52"/>
    </row>
    <row r="978">
      <c r="A978" s="52"/>
      <c r="B978" s="60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4"/>
      <c r="R978" s="52"/>
      <c r="S978" s="52"/>
      <c r="T978" s="52"/>
      <c r="U978" s="52"/>
      <c r="V978" s="52"/>
      <c r="W978" s="52"/>
      <c r="X978" s="52"/>
    </row>
    <row r="979">
      <c r="A979" s="52"/>
      <c r="B979" s="60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4"/>
      <c r="R979" s="52"/>
      <c r="S979" s="52"/>
      <c r="T979" s="52"/>
      <c r="U979" s="52"/>
      <c r="V979" s="52"/>
      <c r="W979" s="52"/>
      <c r="X979" s="52"/>
    </row>
    <row r="980">
      <c r="A980" s="52"/>
      <c r="B980" s="60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4"/>
      <c r="R980" s="52"/>
      <c r="S980" s="52"/>
      <c r="T980" s="52"/>
      <c r="U980" s="52"/>
      <c r="V980" s="52"/>
      <c r="W980" s="52"/>
      <c r="X980" s="52"/>
    </row>
    <row r="981">
      <c r="A981" s="52"/>
      <c r="B981" s="60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4"/>
      <c r="R981" s="52"/>
      <c r="S981" s="52"/>
      <c r="T981" s="52"/>
      <c r="U981" s="52"/>
      <c r="V981" s="52"/>
      <c r="W981" s="52"/>
      <c r="X981" s="52"/>
    </row>
    <row r="982">
      <c r="A982" s="52"/>
      <c r="B982" s="60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4"/>
      <c r="R982" s="52"/>
      <c r="S982" s="52"/>
      <c r="T982" s="52"/>
      <c r="U982" s="52"/>
      <c r="V982" s="52"/>
      <c r="W982" s="52"/>
      <c r="X982" s="52"/>
    </row>
    <row r="983">
      <c r="A983" s="52"/>
      <c r="B983" s="60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4"/>
      <c r="R983" s="52"/>
      <c r="S983" s="52"/>
      <c r="T983" s="52"/>
      <c r="U983" s="52"/>
      <c r="V983" s="52"/>
      <c r="W983" s="52"/>
      <c r="X983" s="52"/>
    </row>
    <row r="984">
      <c r="A984" s="52"/>
      <c r="B984" s="60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4"/>
      <c r="R984" s="52"/>
      <c r="S984" s="52"/>
      <c r="T984" s="52"/>
      <c r="U984" s="52"/>
      <c r="V984" s="52"/>
      <c r="W984" s="52"/>
      <c r="X984" s="52"/>
    </row>
    <row r="985">
      <c r="A985" s="52"/>
      <c r="B985" s="60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4"/>
      <c r="R985" s="52"/>
      <c r="S985" s="52"/>
      <c r="T985" s="52"/>
      <c r="U985" s="52"/>
      <c r="V985" s="52"/>
      <c r="W985" s="52"/>
      <c r="X985" s="52"/>
    </row>
    <row r="986">
      <c r="A986" s="52"/>
      <c r="B986" s="60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4"/>
      <c r="R986" s="52"/>
      <c r="S986" s="52"/>
      <c r="T986" s="52"/>
      <c r="U986" s="52"/>
      <c r="V986" s="52"/>
      <c r="W986" s="52"/>
      <c r="X986" s="52"/>
    </row>
    <row r="987">
      <c r="A987" s="52"/>
      <c r="B987" s="60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4"/>
      <c r="R987" s="52"/>
      <c r="S987" s="52"/>
      <c r="T987" s="52"/>
      <c r="U987" s="52"/>
      <c r="V987" s="52"/>
      <c r="W987" s="52"/>
      <c r="X987" s="52"/>
    </row>
    <row r="988">
      <c r="A988" s="52"/>
      <c r="B988" s="60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4"/>
      <c r="R988" s="52"/>
      <c r="S988" s="52"/>
      <c r="T988" s="52"/>
      <c r="U988" s="52"/>
      <c r="V988" s="52"/>
      <c r="W988" s="52"/>
      <c r="X988" s="52"/>
    </row>
    <row r="989">
      <c r="A989" s="52"/>
      <c r="B989" s="60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4"/>
      <c r="R989" s="52"/>
      <c r="S989" s="52"/>
      <c r="T989" s="52"/>
      <c r="U989" s="52"/>
      <c r="V989" s="52"/>
      <c r="W989" s="52"/>
      <c r="X989" s="52"/>
    </row>
    <row r="990">
      <c r="A990" s="52"/>
      <c r="B990" s="60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4"/>
      <c r="R990" s="52"/>
      <c r="S990" s="52"/>
      <c r="T990" s="52"/>
      <c r="U990" s="52"/>
      <c r="V990" s="52"/>
      <c r="W990" s="52"/>
      <c r="X990" s="52"/>
    </row>
    <row r="991">
      <c r="A991" s="52"/>
      <c r="B991" s="60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4"/>
      <c r="R991" s="52"/>
      <c r="S991" s="52"/>
      <c r="T991" s="52"/>
      <c r="U991" s="52"/>
      <c r="V991" s="52"/>
      <c r="W991" s="52"/>
      <c r="X991" s="52"/>
    </row>
    <row r="992">
      <c r="A992" s="52"/>
      <c r="B992" s="60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4"/>
      <c r="R992" s="52"/>
      <c r="S992" s="52"/>
      <c r="T992" s="52"/>
      <c r="U992" s="52"/>
      <c r="V992" s="52"/>
      <c r="W992" s="52"/>
      <c r="X992" s="52"/>
    </row>
    <row r="993">
      <c r="A993" s="52"/>
      <c r="B993" s="60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4"/>
      <c r="R993" s="52"/>
      <c r="S993" s="52"/>
      <c r="T993" s="52"/>
      <c r="U993" s="52"/>
      <c r="V993" s="52"/>
      <c r="W993" s="52"/>
      <c r="X993" s="52"/>
    </row>
    <row r="994">
      <c r="A994" s="52"/>
      <c r="B994" s="60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4"/>
      <c r="R994" s="52"/>
      <c r="S994" s="52"/>
      <c r="T994" s="52"/>
      <c r="U994" s="52"/>
      <c r="V994" s="52"/>
      <c r="W994" s="52"/>
      <c r="X994" s="52"/>
    </row>
    <row r="995">
      <c r="A995" s="52"/>
      <c r="B995" s="60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4"/>
      <c r="R995" s="52"/>
      <c r="S995" s="52"/>
      <c r="T995" s="52"/>
      <c r="U995" s="52"/>
      <c r="V995" s="52"/>
      <c r="W995" s="52"/>
      <c r="X995" s="52"/>
    </row>
    <row r="996">
      <c r="A996" s="52"/>
      <c r="B996" s="60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4"/>
      <c r="R996" s="52"/>
      <c r="S996" s="52"/>
      <c r="T996" s="52"/>
      <c r="U996" s="52"/>
      <c r="V996" s="52"/>
      <c r="W996" s="52"/>
      <c r="X996" s="52"/>
    </row>
    <row r="997">
      <c r="A997" s="52"/>
      <c r="B997" s="60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4"/>
      <c r="R997" s="52"/>
      <c r="S997" s="52"/>
      <c r="T997" s="52"/>
      <c r="U997" s="52"/>
      <c r="V997" s="52"/>
      <c r="W997" s="52"/>
      <c r="X997" s="52"/>
    </row>
    <row r="998">
      <c r="A998" s="52"/>
      <c r="B998" s="60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4"/>
      <c r="R998" s="52"/>
      <c r="S998" s="52"/>
      <c r="T998" s="52"/>
      <c r="U998" s="52"/>
      <c r="V998" s="52"/>
      <c r="W998" s="52"/>
      <c r="X998" s="52"/>
    </row>
    <row r="999">
      <c r="B999" s="60"/>
      <c r="Q999" s="4"/>
    </row>
    <row r="1000">
      <c r="B1000" s="60"/>
      <c r="Q1000" s="4"/>
    </row>
  </sheetData>
  <mergeCells count="1">
    <mergeCell ref="K1:N1"/>
  </mergeCells>
  <hyperlinks>
    <hyperlink display="Almond" location="null!A1" ref="B3"/>
    <hyperlink display="Aonla" location="null!A1" ref="B4"/>
    <hyperlink display="Bael" location="null!A1" ref="B5"/>
    <hyperlink display="Bael" location="null!A1" ref="B6"/>
    <hyperlink display="Bael" location="null!A1" ref="B7"/>
    <hyperlink display="Bael" location="null!A1" ref="B8"/>
    <hyperlink display="Ber" location="null!A1" ref="B9"/>
    <hyperlink display="Curry Leaf" location="null!A1" ref="B10"/>
    <hyperlink display="Dragon Fruit" location="null!A1" ref="B11"/>
    <hyperlink display="Dragon Fruit" location="null!A1" ref="B12"/>
    <hyperlink display="Drum Stick" location="null!A1" ref="B13"/>
    <hyperlink display="Fig" location="null!A1" ref="B14"/>
    <hyperlink display="Fig" location="null!A1" ref="B15"/>
    <hyperlink display="Fig" location="null!A1" ref="B16"/>
    <hyperlink display="Grapefruit" location="null!A1" ref="B17"/>
    <hyperlink display="Guava" location="null!A1" ref="B18"/>
    <hyperlink display="Guava" location="null!A1" ref="B19"/>
    <hyperlink display="Jackfruit" location="null!A1" ref="B20"/>
    <hyperlink display="Jackfruit" location="null!A1" ref="B21"/>
    <hyperlink display="Jamun" location="null!A1" ref="B22"/>
    <hyperlink display="Jamun" location="null!A1" ref="B23"/>
    <hyperlink display="Kamrakh" location="null!A1" ref="B24"/>
    <hyperlink display="Karonda" location="null!A1" ref="B26"/>
    <hyperlink display="Karonda" location="null!A1" ref="B27"/>
    <hyperlink display="Kinnow" location="null!A1" ref="B28"/>
    <hyperlink display="Lemon" location="null!A1" ref="B29"/>
    <hyperlink display="Lemon" location="null!A1" ref="B30"/>
    <hyperlink display="Lemon" location="null!A1" ref="B31"/>
    <hyperlink display="Lime" location="null!A1" ref="B32"/>
    <hyperlink display="Lime" location="null!A1" ref="B33"/>
    <hyperlink display="Lime" location="null!A1" ref="B34"/>
    <hyperlink display="Lime" location="null!A1" ref="B35"/>
    <hyperlink display="Lime" location="null!A1" ref="B36"/>
    <hyperlink display="Mosambi" location="null!A1" ref="B37"/>
    <hyperlink display="Mosambi" location="null!A1" ref="B38"/>
    <hyperlink display="Mulberry" location="null!A1" ref="B39"/>
    <hyperlink display="Pumello" location="null!A1" ref="B40"/>
    <hyperlink display="Pumello" location="null!A1" ref="B41"/>
    <hyperlink display="Sitaphal" location="null!A1" ref="B42"/>
    <hyperlink display="Sitaphal" location="null!A1" ref="B43"/>
    <hyperlink display="Wax Apple" location="null!A1" ref="B44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1" t="str">
        <f>IFERROR(__xludf.DUMMYFUNCTION("IMPORTRANGE(""https://docs.google.com/spreadsheets/d/1iioPJX6Tf37m9WptyRpjRD8d4WxfEm1ciGlnmu0BC4c/"",""Master Sheet Mongrapal!A1:Z"")")," ")</f>
        <v> </v>
      </c>
      <c r="B1" s="29"/>
      <c r="C1" s="29"/>
      <c r="D1" s="29"/>
      <c r="E1" s="29"/>
      <c r="F1" s="29"/>
      <c r="G1" s="29"/>
      <c r="H1" s="29"/>
      <c r="I1" s="29"/>
      <c r="J1" s="30"/>
      <c r="K1" s="62"/>
      <c r="L1" s="29"/>
      <c r="M1" s="29"/>
      <c r="N1" s="30"/>
      <c r="O1" s="63"/>
      <c r="P1" s="63"/>
      <c r="Q1" s="63"/>
      <c r="R1" s="63"/>
      <c r="S1" s="64"/>
      <c r="T1" s="65"/>
      <c r="U1" s="65"/>
      <c r="V1" s="65"/>
      <c r="W1" s="65"/>
      <c r="X1" s="65"/>
      <c r="Y1" s="65"/>
      <c r="Z1" s="65"/>
    </row>
    <row r="2">
      <c r="A2" s="66" t="str">
        <f>IFERROR(__xludf.DUMMYFUNCTION("""COMPUTED_VALUE"""),"Sr.")</f>
        <v>Sr.</v>
      </c>
      <c r="B2" s="66" t="str">
        <f>IFERROR(__xludf.DUMMYFUNCTION("""COMPUTED_VALUE"""),"CROP")</f>
        <v>CROP</v>
      </c>
      <c r="C2" s="66" t="str">
        <f>IFERROR(__xludf.DUMMYFUNCTION("""COMPUTED_VALUE"""),"VARIETY")</f>
        <v>VARIETY</v>
      </c>
      <c r="D2" s="66" t="str">
        <f>IFERROR(__xludf.DUMMYFUNCTION("""COMPUTED_VALUE"""),"Propagation Method")</f>
        <v>Propagation Method</v>
      </c>
      <c r="E2" s="66" t="str">
        <f>IFERROR(__xludf.DUMMYFUNCTION("""COMPUTED_VALUE"""),"Scion + Rootstock")</f>
        <v>Scion + Rootstock</v>
      </c>
      <c r="F2" s="66" t="str">
        <f>IFERROR(__xludf.DUMMYFUNCTION("""COMPUTED_VALUE"""),"Opening Stock")</f>
        <v>Opening Stock</v>
      </c>
      <c r="G2" s="66" t="str">
        <f>IFERROR(__xludf.DUMMYFUNCTION("""COMPUTED_VALUE"""),"Recieved plants")</f>
        <v>Recieved plants</v>
      </c>
      <c r="H2" s="66" t="str">
        <f>IFERROR(__xludf.DUMMYFUNCTION("""COMPUTED_VALUE"""),"Dispatched plants")</f>
        <v>Dispatched plants</v>
      </c>
      <c r="I2" s="66" t="str">
        <f>IFERROR(__xludf.DUMMYFUNCTION("""COMPUTED_VALUE"""),"Damaged Plants")</f>
        <v>Damaged Plants</v>
      </c>
      <c r="J2" s="66" t="str">
        <f>IFERROR(__xludf.DUMMYFUNCTION("""COMPUTED_VALUE"""),"Total Available Plants")</f>
        <v>Total Available Plants</v>
      </c>
      <c r="K2" s="63" t="str">
        <f>IFERROR(__xludf.DUMMYFUNCTION("""COMPUTED_VALUE"""),"16-Apr to 30-Apr")</f>
        <v>16-Apr to 30-Apr</v>
      </c>
      <c r="L2" s="63" t="str">
        <f>IFERROR(__xludf.DUMMYFUNCTION("""COMPUTED_VALUE"""),"1-May to 15-May")</f>
        <v>1-May to 15-May</v>
      </c>
      <c r="M2" s="63" t="str">
        <f>IFERROR(__xludf.DUMMYFUNCTION("""COMPUTED_VALUE"""),"16-May to 30-May")</f>
        <v>16-May to 30-May</v>
      </c>
      <c r="N2" s="63" t="str">
        <f>IFERROR(__xludf.DUMMYFUNCTION("""COMPUTED_VALUE"""),"1-Jun to 15-Jun")</f>
        <v>1-Jun to 15-Jun</v>
      </c>
      <c r="O2" s="63" t="str">
        <f>IFERROR(__xludf.DUMMYFUNCTION("""COMPUTED_VALUE"""),"15-Jun to 31-Jun")</f>
        <v>15-Jun to 31-Jun</v>
      </c>
      <c r="P2" s="63" t="str">
        <f>IFERROR(__xludf.DUMMYFUNCTION("""COMPUTED_VALUE"""),"Unheathy Plants")</f>
        <v>Unheathy Plants</v>
      </c>
      <c r="Q2" s="63"/>
      <c r="R2" s="63"/>
      <c r="S2" s="64"/>
      <c r="T2" s="65"/>
      <c r="U2" s="65"/>
      <c r="V2" s="65"/>
      <c r="W2" s="65"/>
      <c r="X2" s="65"/>
      <c r="Y2" s="65"/>
      <c r="Z2" s="65"/>
    </row>
    <row r="3">
      <c r="A3" s="67">
        <f>IFERROR(__xludf.DUMMYFUNCTION("""COMPUTED_VALUE"""),1.0)</f>
        <v>1</v>
      </c>
      <c r="B3" s="68" t="str">
        <f>IFERROR(__xludf.DUMMYFUNCTION("""COMPUTED_VALUE"""),"Guava")</f>
        <v>Guava</v>
      </c>
      <c r="C3" s="67" t="str">
        <f>IFERROR(__xludf.DUMMYFUNCTION("""COMPUTED_VALUE"""),"VNR BIHI")</f>
        <v>VNR BIHI</v>
      </c>
      <c r="D3" s="67" t="str">
        <f>IFERROR(__xludf.DUMMYFUNCTION("""COMPUTED_VALUE"""),"Wedge Grafting")</f>
        <v>Wedge Grafting</v>
      </c>
      <c r="E3" s="67" t="str">
        <f>IFERROR(__xludf.DUMMYFUNCTION("""COMPUTED_VALUE"""),"VNR Bihi + L-49 New")</f>
        <v>VNR Bihi + L-49 New</v>
      </c>
      <c r="F3" s="67">
        <f>IFERROR(__xludf.DUMMYFUNCTION("""COMPUTED_VALUE"""),68672.0)</f>
        <v>68672</v>
      </c>
      <c r="G3" s="67">
        <f>IFERROR(__xludf.DUMMYFUNCTION("""COMPUTED_VALUE"""),33881.0)</f>
        <v>33881</v>
      </c>
      <c r="H3" s="67">
        <f>IFERROR(__xludf.DUMMYFUNCTION("""COMPUTED_VALUE"""),0.0)</f>
        <v>0</v>
      </c>
      <c r="I3" s="67">
        <f>IFERROR(__xludf.DUMMYFUNCTION("""COMPUTED_VALUE"""),82.0)</f>
        <v>82</v>
      </c>
      <c r="J3" s="67">
        <f>IFERROR(__xludf.DUMMYFUNCTION("""COMPUTED_VALUE"""),102471.0)</f>
        <v>102471</v>
      </c>
      <c r="K3" s="67">
        <f>IFERROR(__xludf.DUMMYFUNCTION("""COMPUTED_VALUE"""),33141.0)</f>
        <v>33141</v>
      </c>
      <c r="L3" s="67">
        <f>IFERROR(__xludf.DUMMYFUNCTION("""COMPUTED_VALUE"""),6600.0)</f>
        <v>6600</v>
      </c>
      <c r="M3" s="67">
        <f>IFERROR(__xludf.DUMMYFUNCTION("""COMPUTED_VALUE"""),7000.0)</f>
        <v>7000</v>
      </c>
      <c r="N3" s="67">
        <f>IFERROR(__xludf.DUMMYFUNCTION("""COMPUTED_VALUE"""),30560.0)</f>
        <v>30560</v>
      </c>
      <c r="O3" s="67">
        <f>IFERROR(__xludf.DUMMYFUNCTION("""COMPUTED_VALUE"""),24070.0)</f>
        <v>24070</v>
      </c>
      <c r="P3" s="67">
        <f>IFERROR(__xludf.DUMMYFUNCTION("""COMPUTED_VALUE"""),1100.0)</f>
        <v>1100</v>
      </c>
      <c r="Q3" s="67"/>
      <c r="R3" s="67"/>
      <c r="S3" s="67"/>
      <c r="T3" s="69"/>
      <c r="U3" s="69"/>
      <c r="V3" s="69"/>
      <c r="W3" s="69"/>
      <c r="X3" s="69"/>
      <c r="Y3" s="69"/>
      <c r="Z3" s="69"/>
    </row>
    <row r="4">
      <c r="A4" s="67">
        <f>IFERROR(__xludf.DUMMYFUNCTION("""COMPUTED_VALUE"""),2.0)</f>
        <v>2</v>
      </c>
      <c r="B4" s="67" t="str">
        <f>IFERROR(__xludf.DUMMYFUNCTION("""COMPUTED_VALUE"""),"Guava")</f>
        <v>Guava</v>
      </c>
      <c r="C4" s="67" t="str">
        <f>IFERROR(__xludf.DUMMYFUNCTION("""COMPUTED_VALUE"""),"VNR Safal")</f>
        <v>VNR Safal</v>
      </c>
      <c r="D4" s="67" t="str">
        <f>IFERROR(__xludf.DUMMYFUNCTION("""COMPUTED_VALUE"""),"Wedge Grafting")</f>
        <v>Wedge Grafting</v>
      </c>
      <c r="E4" s="67" t="str">
        <f>IFERROR(__xludf.DUMMYFUNCTION("""COMPUTED_VALUE"""),"VNR Safal + L-49")</f>
        <v>VNR Safal + L-49</v>
      </c>
      <c r="F4" s="67">
        <f>IFERROR(__xludf.DUMMYFUNCTION("""COMPUTED_VALUE"""),376.0)</f>
        <v>376</v>
      </c>
      <c r="G4" s="67">
        <f>IFERROR(__xludf.DUMMYFUNCTION("""COMPUTED_VALUE"""),0.0)</f>
        <v>0</v>
      </c>
      <c r="H4" s="67">
        <f>IFERROR(__xludf.DUMMYFUNCTION("""COMPUTED_VALUE"""),0.0)</f>
        <v>0</v>
      </c>
      <c r="I4" s="67">
        <f>IFERROR(__xludf.DUMMYFUNCTION("""COMPUTED_VALUE"""),0.0)</f>
        <v>0</v>
      </c>
      <c r="J4" s="67">
        <f>IFERROR(__xludf.DUMMYFUNCTION("""COMPUTED_VALUE"""),376.0)</f>
        <v>376</v>
      </c>
      <c r="K4" s="67">
        <f>IFERROR(__xludf.DUMMYFUNCTION("""COMPUTED_VALUE"""),376.0)</f>
        <v>376</v>
      </c>
      <c r="L4" s="67"/>
      <c r="M4" s="67"/>
      <c r="N4" s="67"/>
      <c r="O4" s="67"/>
      <c r="P4" s="67"/>
      <c r="Q4" s="67"/>
      <c r="R4" s="67"/>
      <c r="S4" s="67"/>
      <c r="T4" s="69"/>
      <c r="U4" s="69"/>
      <c r="V4" s="69"/>
      <c r="W4" s="69"/>
      <c r="X4" s="69"/>
      <c r="Y4" s="69"/>
      <c r="Z4" s="69"/>
    </row>
    <row r="5">
      <c r="A5" s="69">
        <f>IFERROR(__xludf.DUMMYFUNCTION("""COMPUTED_VALUE"""),3.0)</f>
        <v>3</v>
      </c>
      <c r="B5" s="69" t="str">
        <f>IFERROR(__xludf.DUMMYFUNCTION("""COMPUTED_VALUE"""),"Guava")</f>
        <v>Guava</v>
      </c>
      <c r="C5" s="69" t="str">
        <f>IFERROR(__xludf.DUMMYFUNCTION("""COMPUTED_VALUE"""),"VNR Sahil")</f>
        <v>VNR Sahil</v>
      </c>
      <c r="D5" s="69" t="str">
        <f>IFERROR(__xludf.DUMMYFUNCTION("""COMPUTED_VALUE"""),"Wedge Grafting")</f>
        <v>Wedge Grafting</v>
      </c>
      <c r="E5" s="69" t="str">
        <f>IFERROR(__xludf.DUMMYFUNCTION("""COMPUTED_VALUE"""),"VNR Sahil + L-49 (N)")</f>
        <v>VNR Sahil + L-49 (N)</v>
      </c>
      <c r="F5" s="69">
        <f>IFERROR(__xludf.DUMMYFUNCTION("""COMPUTED_VALUE"""),0.0)</f>
        <v>0</v>
      </c>
      <c r="G5" s="69">
        <f>IFERROR(__xludf.DUMMYFUNCTION("""COMPUTED_VALUE"""),0.0)</f>
        <v>0</v>
      </c>
      <c r="H5" s="69">
        <f>IFERROR(__xludf.DUMMYFUNCTION("""COMPUTED_VALUE"""),0.0)</f>
        <v>0</v>
      </c>
      <c r="I5" s="69">
        <f>IFERROR(__xludf.DUMMYFUNCTION("""COMPUTED_VALUE"""),0.0)</f>
        <v>0</v>
      </c>
      <c r="J5" s="69">
        <f>IFERROR(__xludf.DUMMYFUNCTION("""COMPUTED_VALUE"""),0.0)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69">
        <f>IFERROR(__xludf.DUMMYFUNCTION("""COMPUTED_VALUE"""),4.0)</f>
        <v>4</v>
      </c>
      <c r="B6" s="69" t="str">
        <f>IFERROR(__xludf.DUMMYFUNCTION("""COMPUTED_VALUE"""),"Guava")</f>
        <v>Guava</v>
      </c>
      <c r="C6" s="69" t="str">
        <f>IFERROR(__xludf.DUMMYFUNCTION("""COMPUTED_VALUE"""),"PAU - 1P")</f>
        <v>PAU - 1P</v>
      </c>
      <c r="D6" s="69" t="str">
        <f>IFERROR(__xludf.DUMMYFUNCTION("""COMPUTED_VALUE"""),"Wedge Grafting")</f>
        <v>Wedge Grafting</v>
      </c>
      <c r="E6" s="69" t="str">
        <f>IFERROR(__xludf.DUMMYFUNCTION("""COMPUTED_VALUE"""),"PAU - 1P + L-49 (N)")</f>
        <v>PAU - 1P + L-49 (N)</v>
      </c>
      <c r="F6" s="69">
        <f>IFERROR(__xludf.DUMMYFUNCTION("""COMPUTED_VALUE"""),13.0)</f>
        <v>13</v>
      </c>
      <c r="G6" s="69">
        <f>IFERROR(__xludf.DUMMYFUNCTION("""COMPUTED_VALUE"""),0.0)</f>
        <v>0</v>
      </c>
      <c r="H6" s="69">
        <f>IFERROR(__xludf.DUMMYFUNCTION("""COMPUTED_VALUE"""),13.0)</f>
        <v>13</v>
      </c>
      <c r="I6" s="69">
        <f>IFERROR(__xludf.DUMMYFUNCTION("""COMPUTED_VALUE"""),0.0)</f>
        <v>0</v>
      </c>
      <c r="J6" s="69">
        <f>IFERROR(__xludf.DUMMYFUNCTION("""COMPUTED_VALUE"""),0.0)</f>
        <v>0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69">
        <f>IFERROR(__xludf.DUMMYFUNCTION("""COMPUTED_VALUE"""),5.0)</f>
        <v>5</v>
      </c>
      <c r="B7" s="69" t="str">
        <f>IFERROR(__xludf.DUMMYFUNCTION("""COMPUTED_VALUE"""),"Guava")</f>
        <v>Guava</v>
      </c>
      <c r="C7" s="69" t="str">
        <f>IFERROR(__xludf.DUMMYFUNCTION("""COMPUTED_VALUE"""),"VNR Magenta")</f>
        <v>VNR Magenta</v>
      </c>
      <c r="D7" s="69" t="str">
        <f>IFERROR(__xludf.DUMMYFUNCTION("""COMPUTED_VALUE"""),"Wedge Grafting")</f>
        <v>Wedge Grafting</v>
      </c>
      <c r="E7" s="69" t="str">
        <f>IFERROR(__xludf.DUMMYFUNCTION("""COMPUTED_VALUE"""),"VNR Magenta + L-49 (N)")</f>
        <v>VNR Magenta + L-49 (N)</v>
      </c>
      <c r="F7" s="69">
        <f>IFERROR(__xludf.DUMMYFUNCTION("""COMPUTED_VALUE"""),12.0)</f>
        <v>12</v>
      </c>
      <c r="G7" s="69">
        <f>IFERROR(__xludf.DUMMYFUNCTION("""COMPUTED_VALUE"""),0.0)</f>
        <v>0</v>
      </c>
      <c r="H7" s="69">
        <f>IFERROR(__xludf.DUMMYFUNCTION("""COMPUTED_VALUE"""),12.0)</f>
        <v>12</v>
      </c>
      <c r="I7" s="69">
        <f>IFERROR(__xludf.DUMMYFUNCTION("""COMPUTED_VALUE"""),0.0)</f>
        <v>0</v>
      </c>
      <c r="J7" s="69">
        <f>IFERROR(__xludf.DUMMYFUNCTION("""COMPUTED_VALUE"""),0.0)</f>
        <v>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>
      <c r="A8" s="69">
        <f>IFERROR(__xludf.DUMMYFUNCTION("""COMPUTED_VALUE"""),6.0)</f>
        <v>6</v>
      </c>
      <c r="B8" s="69" t="str">
        <f>IFERROR(__xludf.DUMMYFUNCTION("""COMPUTED_VALUE"""),"Guava")</f>
        <v>Guava</v>
      </c>
      <c r="C8" s="69" t="str">
        <f>IFERROR(__xludf.DUMMYFUNCTION("""COMPUTED_VALUE"""),"VNR Rubina")</f>
        <v>VNR Rubina</v>
      </c>
      <c r="D8" s="69" t="str">
        <f>IFERROR(__xludf.DUMMYFUNCTION("""COMPUTED_VALUE"""),"Wedge Grafting")</f>
        <v>Wedge Grafting</v>
      </c>
      <c r="E8" s="69" t="str">
        <f>IFERROR(__xludf.DUMMYFUNCTION("""COMPUTED_VALUE"""),"VNR Rubina + L-49")</f>
        <v>VNR Rubina + L-49</v>
      </c>
      <c r="F8" s="69">
        <f>IFERROR(__xludf.DUMMYFUNCTION("""COMPUTED_VALUE"""),19.0)</f>
        <v>19</v>
      </c>
      <c r="G8" s="69">
        <f>IFERROR(__xludf.DUMMYFUNCTION("""COMPUTED_VALUE"""),0.0)</f>
        <v>0</v>
      </c>
      <c r="H8" s="69">
        <f>IFERROR(__xludf.DUMMYFUNCTION("""COMPUTED_VALUE"""),19.0)</f>
        <v>19</v>
      </c>
      <c r="I8" s="69">
        <f>IFERROR(__xludf.DUMMYFUNCTION("""COMPUTED_VALUE"""),0.0)</f>
        <v>0</v>
      </c>
      <c r="J8" s="69">
        <f>IFERROR(__xludf.DUMMYFUNCTION("""COMPUTED_VALUE"""),0.0)</f>
        <v>0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 t="str">
        <f>IFERROR(__xludf.DUMMYFUNCTION("""COMPUTED_VALUE"""),"  ")</f>
        <v>  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2">
    <mergeCell ref="A1:J1"/>
    <mergeCell ref="K1:N1"/>
  </mergeCells>
  <hyperlinks>
    <hyperlink display="Guava" location="Gomchi!A1" ref="B3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2" max="2" width="16.63"/>
    <col customWidth="1" min="4" max="4" width="17.13"/>
    <col customWidth="1" min="5" max="6" width="19.63"/>
    <col customWidth="1" min="7" max="8" width="20.75"/>
    <col customWidth="1" min="9" max="10" width="18.25"/>
    <col customWidth="1" min="11" max="12" width="15.0"/>
    <col customWidth="1" min="13" max="14" width="14.63"/>
    <col customWidth="1" min="15" max="15" width="14.0"/>
    <col customWidth="1" min="16" max="16" width="16.13"/>
    <col customWidth="1" min="17" max="17" width="21.13"/>
  </cols>
  <sheetData>
    <row r="1">
      <c r="A1" s="70" t="str">
        <f>IFERROR(__xludf.DUMMYFUNCTION("IMPORTRANGE(""https://docs.google.com/spreadsheets/d/18vAKnYA3_MnyMwq5Y_vjzRRsAA-EEbq_jrwdhEJFMQQ/"",""Master Sheet Godhi!A1:Z"")"),"")</f>
        <v/>
      </c>
      <c r="B1" s="71"/>
      <c r="C1" s="72"/>
      <c r="D1" s="72" t="str">
        <f>IFERROR(__xludf.DUMMYFUNCTION("""COMPUTED_VALUE"""),"Fruit  Crops  Variety  Stocks Report at Godhi Farm 2023 - 24")</f>
        <v>Fruit  Crops  Variety  Stocks Report at Godhi Farm 2023 - 24</v>
      </c>
      <c r="E1" s="72"/>
      <c r="F1" s="72"/>
      <c r="G1" s="72"/>
      <c r="H1" s="72"/>
      <c r="I1" s="73"/>
      <c r="J1" s="70"/>
      <c r="K1" s="74"/>
      <c r="L1" s="29"/>
      <c r="M1" s="29"/>
      <c r="N1" s="29"/>
      <c r="O1" s="30"/>
      <c r="P1" s="75"/>
      <c r="Q1" s="1"/>
      <c r="R1" s="3"/>
      <c r="S1" s="3"/>
      <c r="T1" s="3"/>
      <c r="U1" s="3"/>
      <c r="V1" s="3"/>
      <c r="W1" s="3"/>
      <c r="X1" s="3"/>
      <c r="Y1" s="3"/>
      <c r="Z1" s="3"/>
    </row>
    <row r="2">
      <c r="A2" s="76" t="str">
        <f>IFERROR(__xludf.DUMMYFUNCTION("""COMPUTED_VALUE"""),"S.No.")</f>
        <v>S.No.</v>
      </c>
      <c r="B2" s="77" t="str">
        <f>IFERROR(__xludf.DUMMYFUNCTION("""COMPUTED_VALUE"""),"Crop")</f>
        <v>Crop</v>
      </c>
      <c r="C2" s="76" t="str">
        <f>IFERROR(__xludf.DUMMYFUNCTION("""COMPUTED_VALUE"""),"Variety")</f>
        <v>Variety</v>
      </c>
      <c r="D2" s="76" t="str">
        <f>IFERROR(__xludf.DUMMYFUNCTION("""COMPUTED_VALUE"""),"Propagation Method")</f>
        <v>Propagation Method</v>
      </c>
      <c r="E2" s="76" t="str">
        <f>IFERROR(__xludf.DUMMYFUNCTION("""COMPUTED_VALUE"""),"Scion + Root Stock ")</f>
        <v>Scion + Root Stock </v>
      </c>
      <c r="F2" s="76" t="str">
        <f>IFERROR(__xludf.DUMMYFUNCTION("""COMPUTED_VALUE"""),"Opening Stock")</f>
        <v>Opening Stock</v>
      </c>
      <c r="G2" s="76" t="str">
        <f>IFERROR(__xludf.DUMMYFUNCTION("""COMPUTED_VALUE""")," No. Of Received Plants")</f>
        <v> No. Of Received Plants</v>
      </c>
      <c r="H2" s="76" t="str">
        <f>IFERROR(__xludf.DUMMYFUNCTION("""COMPUTED_VALUE"""),"No. of Dispatched Plants ")</f>
        <v>No. of Dispatched Plants </v>
      </c>
      <c r="I2" s="76" t="str">
        <f>IFERROR(__xludf.DUMMYFUNCTION("""COMPUTED_VALUE"""),"Damage Plant")</f>
        <v>Damage Plant</v>
      </c>
      <c r="J2" s="76" t="str">
        <f>IFERROR(__xludf.DUMMYFUNCTION("""COMPUTED_VALUE"""),"Total Available Plants")</f>
        <v>Total Available Plants</v>
      </c>
      <c r="K2" s="78" t="str">
        <f>IFERROR(__xludf.DUMMYFUNCTION("""COMPUTED_VALUE"""),"01 May  to 15 May ")</f>
        <v>01 May  to 15 May </v>
      </c>
      <c r="L2" s="78" t="str">
        <f>IFERROR(__xludf.DUMMYFUNCTION("""COMPUTED_VALUE"""),"16 May  to 31 May ")</f>
        <v>16 May  to 31 May </v>
      </c>
      <c r="M2" s="78" t="str">
        <f>IFERROR(__xludf.DUMMYFUNCTION("""COMPUTED_VALUE"""),"01 Jun to  15 Jun")</f>
        <v>01 Jun to  15 Jun</v>
      </c>
      <c r="N2" s="78" t="str">
        <f>IFERROR(__xludf.DUMMYFUNCTION("""COMPUTED_VALUE"""),"16 Jun to  30 Jun")</f>
        <v>16 Jun to  30 Jun</v>
      </c>
      <c r="O2" s="78" t="str">
        <f>IFERROR(__xludf.DUMMYFUNCTION("""COMPUTED_VALUE"""),"01 Jul  to  15 Jul ")</f>
        <v>01 Jul  to  15 Jul </v>
      </c>
      <c r="P2" s="75" t="str">
        <f>IFERROR(__xludf.DUMMYFUNCTION("""COMPUTED_VALUE"""),"16 Jul  to  31 Jul ")</f>
        <v>16 Jul  to  31 Jul </v>
      </c>
      <c r="Q2" s="1" t="str">
        <f>IFERROR(__xludf.DUMMYFUNCTION("""COMPUTED_VALUE"""),"Unhealthy Plants On hold")</f>
        <v>Unhealthy Plants On hold</v>
      </c>
      <c r="R2" s="3"/>
      <c r="S2" s="3"/>
      <c r="T2" s="3"/>
      <c r="U2" s="3"/>
      <c r="V2" s="3"/>
      <c r="W2" s="3"/>
      <c r="X2" s="3"/>
      <c r="Y2" s="3"/>
      <c r="Z2" s="3"/>
    </row>
    <row r="3">
      <c r="A3" s="79">
        <f>IFERROR(__xludf.DUMMYFUNCTION("""COMPUTED_VALUE"""),1.0)</f>
        <v>1</v>
      </c>
      <c r="B3" s="80" t="str">
        <f>IFERROR(__xludf.DUMMYFUNCTION("""COMPUTED_VALUE"""),"Almond")</f>
        <v>Almond</v>
      </c>
      <c r="C3" s="79" t="str">
        <f>IFERROR(__xludf.DUMMYFUNCTION("""COMPUTED_VALUE"""),"VNR 141")</f>
        <v>VNR 141</v>
      </c>
      <c r="D3" s="81" t="str">
        <f>IFERROR(__xludf.DUMMYFUNCTION("""COMPUTED_VALUE"""),"Grafted")</f>
        <v>Grafted</v>
      </c>
      <c r="E3" s="81" t="str">
        <f>IFERROR(__xludf.DUMMYFUNCTION("""COMPUTED_VALUE"""),"Almond 141 + Almond")</f>
        <v>Almond 141 + Almond</v>
      </c>
      <c r="F3" s="82">
        <f>IFERROR(__xludf.DUMMYFUNCTION("""COMPUTED_VALUE"""),60.0)</f>
        <v>60</v>
      </c>
      <c r="G3" s="82">
        <f>IFERROR(__xludf.DUMMYFUNCTION("""COMPUTED_VALUE"""),0.0)</f>
        <v>0</v>
      </c>
      <c r="H3" s="82">
        <f>IFERROR(__xludf.DUMMYFUNCTION("""COMPUTED_VALUE"""),0.0)</f>
        <v>0</v>
      </c>
      <c r="I3" s="82">
        <f>IFERROR(__xludf.DUMMYFUNCTION("""COMPUTED_VALUE"""),0.0)</f>
        <v>0</v>
      </c>
      <c r="J3" s="82">
        <f>IFERROR(__xludf.DUMMYFUNCTION("""COMPUTED_VALUE"""),60.0)</f>
        <v>60</v>
      </c>
      <c r="K3" s="83">
        <f>IFERROR(__xludf.DUMMYFUNCTION("""COMPUTED_VALUE"""),60.0)</f>
        <v>60</v>
      </c>
      <c r="L3" s="83"/>
      <c r="M3" s="83"/>
      <c r="N3" s="83"/>
      <c r="O3" s="83"/>
      <c r="P3" s="84"/>
      <c r="Q3" s="4"/>
      <c r="R3" s="52"/>
      <c r="S3" s="52"/>
      <c r="T3" s="52"/>
      <c r="U3" s="52"/>
      <c r="V3" s="52"/>
      <c r="W3" s="52"/>
      <c r="X3" s="52"/>
      <c r="Y3" s="52"/>
      <c r="Z3" s="52"/>
    </row>
    <row r="4">
      <c r="A4" s="79">
        <f>IFERROR(__xludf.DUMMYFUNCTION("""COMPUTED_VALUE"""),2.0)</f>
        <v>2</v>
      </c>
      <c r="B4" s="80" t="str">
        <f>IFERROR(__xludf.DUMMYFUNCTION("""COMPUTED_VALUE"""),"Aonla")</f>
        <v>Aonla</v>
      </c>
      <c r="C4" s="79" t="str">
        <f>IFERROR(__xludf.DUMMYFUNCTION("""COMPUTED_VALUE"""),"Krishna")</f>
        <v>Krishna</v>
      </c>
      <c r="D4" s="81" t="str">
        <f>IFERROR(__xludf.DUMMYFUNCTION("""COMPUTED_VALUE"""),"Grafted")</f>
        <v>Grafted</v>
      </c>
      <c r="E4" s="81" t="str">
        <f>IFERROR(__xludf.DUMMYFUNCTION("""COMPUTED_VALUE"""),"Aonla Krishna + Aonla")</f>
        <v>Aonla Krishna + Aonla</v>
      </c>
      <c r="F4" s="82">
        <f>IFERROR(__xludf.DUMMYFUNCTION("""COMPUTED_VALUE"""),30.0)</f>
        <v>30</v>
      </c>
      <c r="G4" s="82">
        <f>IFERROR(__xludf.DUMMYFUNCTION("""COMPUTED_VALUE"""),0.0)</f>
        <v>0</v>
      </c>
      <c r="H4" s="82">
        <f>IFERROR(__xludf.DUMMYFUNCTION("""COMPUTED_VALUE"""),0.0)</f>
        <v>0</v>
      </c>
      <c r="I4" s="82">
        <f>IFERROR(__xludf.DUMMYFUNCTION("""COMPUTED_VALUE"""),0.0)</f>
        <v>0</v>
      </c>
      <c r="J4" s="82">
        <f>IFERROR(__xludf.DUMMYFUNCTION("""COMPUTED_VALUE"""),30.0)</f>
        <v>30</v>
      </c>
      <c r="K4" s="83">
        <f>IFERROR(__xludf.DUMMYFUNCTION("""COMPUTED_VALUE"""),0.0)</f>
        <v>0</v>
      </c>
      <c r="L4" s="83">
        <f>IFERROR(__xludf.DUMMYFUNCTION("""COMPUTED_VALUE"""),20.0)</f>
        <v>20</v>
      </c>
      <c r="M4" s="83">
        <f>IFERROR(__xludf.DUMMYFUNCTION("""COMPUTED_VALUE"""),10.0)</f>
        <v>10</v>
      </c>
      <c r="N4" s="83"/>
      <c r="O4" s="83"/>
      <c r="P4" s="84"/>
      <c r="Q4" s="4"/>
      <c r="R4" s="52"/>
      <c r="S4" s="52"/>
      <c r="T4" s="52"/>
      <c r="U4" s="52"/>
      <c r="V4" s="52"/>
      <c r="W4" s="52"/>
      <c r="X4" s="52"/>
      <c r="Y4" s="52"/>
      <c r="Z4" s="52"/>
    </row>
    <row r="5">
      <c r="A5" s="79">
        <f>IFERROR(__xludf.DUMMYFUNCTION("""COMPUTED_VALUE"""),3.0)</f>
        <v>3</v>
      </c>
      <c r="B5" s="80" t="str">
        <f>IFERROR(__xludf.DUMMYFUNCTION("""COMPUTED_VALUE"""),"Bael")</f>
        <v>Bael</v>
      </c>
      <c r="C5" s="79" t="str">
        <f>IFERROR(__xludf.DUMMYFUNCTION("""COMPUTED_VALUE"""),"B-1 CISH")</f>
        <v>B-1 CISH</v>
      </c>
      <c r="D5" s="81" t="str">
        <f>IFERROR(__xludf.DUMMYFUNCTION("""COMPUTED_VALUE"""),"Grafted")</f>
        <v>Grafted</v>
      </c>
      <c r="E5" s="81" t="str">
        <f>IFERROR(__xludf.DUMMYFUNCTION("""COMPUTED_VALUE"""),"Bael B-1 CISH + Bael")</f>
        <v>Bael B-1 CISH + Bael</v>
      </c>
      <c r="F5" s="82">
        <f>IFERROR(__xludf.DUMMYFUNCTION("""COMPUTED_VALUE"""),156.0)</f>
        <v>156</v>
      </c>
      <c r="G5" s="82">
        <f>IFERROR(__xludf.DUMMYFUNCTION("""COMPUTED_VALUE"""),0.0)</f>
        <v>0</v>
      </c>
      <c r="H5" s="82">
        <f>IFERROR(__xludf.DUMMYFUNCTION("""COMPUTED_VALUE"""),0.0)</f>
        <v>0</v>
      </c>
      <c r="I5" s="82">
        <f>IFERROR(__xludf.DUMMYFUNCTION("""COMPUTED_VALUE"""),1.0)</f>
        <v>1</v>
      </c>
      <c r="J5" s="82">
        <f>IFERROR(__xludf.DUMMYFUNCTION("""COMPUTED_VALUE"""),155.0)</f>
        <v>155</v>
      </c>
      <c r="K5" s="83">
        <f>IFERROR(__xludf.DUMMYFUNCTION("""COMPUTED_VALUE"""),0.0)</f>
        <v>0</v>
      </c>
      <c r="L5" s="83"/>
      <c r="M5" s="83"/>
      <c r="N5" s="83"/>
      <c r="O5" s="83"/>
      <c r="P5" s="84"/>
      <c r="Q5" s="4">
        <f>IFERROR(__xludf.DUMMYFUNCTION("""COMPUTED_VALUE"""),155.0)</f>
        <v>155</v>
      </c>
      <c r="R5" s="52"/>
      <c r="S5" s="52"/>
      <c r="T5" s="52"/>
      <c r="U5" s="52"/>
      <c r="V5" s="52"/>
      <c r="W5" s="52"/>
      <c r="X5" s="52"/>
      <c r="Y5" s="52"/>
      <c r="Z5" s="52"/>
    </row>
    <row r="6">
      <c r="A6" s="79">
        <f>IFERROR(__xludf.DUMMYFUNCTION("""COMPUTED_VALUE"""),4.0)</f>
        <v>4</v>
      </c>
      <c r="B6" s="80" t="str">
        <f>IFERROR(__xludf.DUMMYFUNCTION("""COMPUTED_VALUE"""),"Bael")</f>
        <v>Bael</v>
      </c>
      <c r="C6" s="79" t="str">
        <f>IFERROR(__xludf.DUMMYFUNCTION("""COMPUTED_VALUE"""),"Gomayashi")</f>
        <v>Gomayashi</v>
      </c>
      <c r="D6" s="81" t="str">
        <f>IFERROR(__xludf.DUMMYFUNCTION("""COMPUTED_VALUE"""),"Grafted")</f>
        <v>Grafted</v>
      </c>
      <c r="E6" s="81" t="str">
        <f>IFERROR(__xludf.DUMMYFUNCTION("""COMPUTED_VALUE"""),"Bael Gomayashi + Bael")</f>
        <v>Bael Gomayashi + Bael</v>
      </c>
      <c r="F6" s="82">
        <f>IFERROR(__xludf.DUMMYFUNCTION("""COMPUTED_VALUE"""),130.0)</f>
        <v>130</v>
      </c>
      <c r="G6" s="82">
        <f>IFERROR(__xludf.DUMMYFUNCTION("""COMPUTED_VALUE"""),0.0)</f>
        <v>0</v>
      </c>
      <c r="H6" s="82">
        <f>IFERROR(__xludf.DUMMYFUNCTION("""COMPUTED_VALUE"""),0.0)</f>
        <v>0</v>
      </c>
      <c r="I6" s="82">
        <f>IFERROR(__xludf.DUMMYFUNCTION("""COMPUTED_VALUE"""),0.0)</f>
        <v>0</v>
      </c>
      <c r="J6" s="82">
        <f>IFERROR(__xludf.DUMMYFUNCTION("""COMPUTED_VALUE"""),130.0)</f>
        <v>130</v>
      </c>
      <c r="K6" s="83">
        <f>IFERROR(__xludf.DUMMYFUNCTION("""COMPUTED_VALUE"""),50.0)</f>
        <v>50</v>
      </c>
      <c r="L6" s="83">
        <f>IFERROR(__xludf.DUMMYFUNCTION("""COMPUTED_VALUE"""),40.0)</f>
        <v>40</v>
      </c>
      <c r="M6" s="83">
        <f>IFERROR(__xludf.DUMMYFUNCTION("""COMPUTED_VALUE"""),40.0)</f>
        <v>40</v>
      </c>
      <c r="N6" s="83"/>
      <c r="O6" s="83"/>
      <c r="P6" s="84"/>
      <c r="Q6" s="4"/>
      <c r="R6" s="52"/>
      <c r="S6" s="52"/>
      <c r="T6" s="52"/>
      <c r="U6" s="52"/>
      <c r="V6" s="52"/>
      <c r="W6" s="52"/>
      <c r="X6" s="52"/>
      <c r="Y6" s="52"/>
      <c r="Z6" s="52"/>
    </row>
    <row r="7">
      <c r="A7" s="79">
        <f>IFERROR(__xludf.DUMMYFUNCTION("""COMPUTED_VALUE"""),5.0)</f>
        <v>5</v>
      </c>
      <c r="B7" s="80" t="str">
        <f>IFERROR(__xludf.DUMMYFUNCTION("""COMPUTED_VALUE"""),"Bael")</f>
        <v>Bael</v>
      </c>
      <c r="C7" s="79" t="str">
        <f>IFERROR(__xludf.DUMMYFUNCTION("""COMPUTED_VALUE"""),"NB-7")</f>
        <v>NB-7</v>
      </c>
      <c r="D7" s="81" t="str">
        <f>IFERROR(__xludf.DUMMYFUNCTION("""COMPUTED_VALUE"""),"Grafted")</f>
        <v>Grafted</v>
      </c>
      <c r="E7" s="81" t="str">
        <f>IFERROR(__xludf.DUMMYFUNCTION("""COMPUTED_VALUE"""),"Bael NB-7 + Bael")</f>
        <v>Bael NB-7 + Bael</v>
      </c>
      <c r="F7" s="82">
        <f>IFERROR(__xludf.DUMMYFUNCTION("""COMPUTED_VALUE"""),38.0)</f>
        <v>38</v>
      </c>
      <c r="G7" s="82">
        <f>IFERROR(__xludf.DUMMYFUNCTION("""COMPUTED_VALUE"""),0.0)</f>
        <v>0</v>
      </c>
      <c r="H7" s="82">
        <f>IFERROR(__xludf.DUMMYFUNCTION("""COMPUTED_VALUE"""),0.0)</f>
        <v>0</v>
      </c>
      <c r="I7" s="82">
        <f>IFERROR(__xludf.DUMMYFUNCTION("""COMPUTED_VALUE"""),1.0)</f>
        <v>1</v>
      </c>
      <c r="J7" s="82">
        <f>IFERROR(__xludf.DUMMYFUNCTION("""COMPUTED_VALUE"""),37.0)</f>
        <v>37</v>
      </c>
      <c r="K7" s="83">
        <f>IFERROR(__xludf.DUMMYFUNCTION("""COMPUTED_VALUE"""),0.0)</f>
        <v>0</v>
      </c>
      <c r="L7" s="83"/>
      <c r="M7" s="83"/>
      <c r="N7" s="83"/>
      <c r="O7" s="83"/>
      <c r="P7" s="84"/>
      <c r="Q7" s="4">
        <f>IFERROR(__xludf.DUMMYFUNCTION("""COMPUTED_VALUE"""),37.0)</f>
        <v>37</v>
      </c>
      <c r="R7" s="52"/>
      <c r="S7" s="52"/>
      <c r="T7" s="52"/>
      <c r="U7" s="52"/>
      <c r="V7" s="52"/>
      <c r="W7" s="52"/>
      <c r="X7" s="52"/>
      <c r="Y7" s="52"/>
      <c r="Z7" s="52"/>
    </row>
    <row r="8">
      <c r="A8" s="79">
        <f>IFERROR(__xludf.DUMMYFUNCTION("""COMPUTED_VALUE"""),6.0)</f>
        <v>6</v>
      </c>
      <c r="B8" s="80" t="str">
        <f>IFERROR(__xludf.DUMMYFUNCTION("""COMPUTED_VALUE"""),"Bael")</f>
        <v>Bael</v>
      </c>
      <c r="C8" s="79" t="str">
        <f>IFERROR(__xludf.DUMMYFUNCTION("""COMPUTED_VALUE"""),"NB-9")</f>
        <v>NB-9</v>
      </c>
      <c r="D8" s="81" t="str">
        <f>IFERROR(__xludf.DUMMYFUNCTION("""COMPUTED_VALUE"""),"Grafted")</f>
        <v>Grafted</v>
      </c>
      <c r="E8" s="81" t="str">
        <f>IFERROR(__xludf.DUMMYFUNCTION("""COMPUTED_VALUE"""),"Bael NB-9 + Bael")</f>
        <v>Bael NB-9 + Bael</v>
      </c>
      <c r="F8" s="82">
        <f>IFERROR(__xludf.DUMMYFUNCTION("""COMPUTED_VALUE"""),0.0)</f>
        <v>0</v>
      </c>
      <c r="G8" s="82">
        <f>IFERROR(__xludf.DUMMYFUNCTION("""COMPUTED_VALUE"""),0.0)</f>
        <v>0</v>
      </c>
      <c r="H8" s="82">
        <f>IFERROR(__xludf.DUMMYFUNCTION("""COMPUTED_VALUE"""),0.0)</f>
        <v>0</v>
      </c>
      <c r="I8" s="82">
        <f>IFERROR(__xludf.DUMMYFUNCTION("""COMPUTED_VALUE"""),0.0)</f>
        <v>0</v>
      </c>
      <c r="J8" s="82">
        <f>IFERROR(__xludf.DUMMYFUNCTION("""COMPUTED_VALUE"""),0.0)</f>
        <v>0</v>
      </c>
      <c r="K8" s="83">
        <f>IFERROR(__xludf.DUMMYFUNCTION("""COMPUTED_VALUE"""),0.0)</f>
        <v>0</v>
      </c>
      <c r="L8" s="83"/>
      <c r="M8" s="83"/>
      <c r="N8" s="83"/>
      <c r="O8" s="83"/>
      <c r="P8" s="84"/>
      <c r="Q8" s="4"/>
      <c r="R8" s="52"/>
      <c r="S8" s="52"/>
      <c r="T8" s="52"/>
      <c r="U8" s="52"/>
      <c r="V8" s="52"/>
      <c r="W8" s="52"/>
      <c r="X8" s="52"/>
      <c r="Y8" s="52"/>
      <c r="Z8" s="52"/>
    </row>
    <row r="9">
      <c r="A9" s="79">
        <f>IFERROR(__xludf.DUMMYFUNCTION("""COMPUTED_VALUE"""),7.0)</f>
        <v>7</v>
      </c>
      <c r="B9" s="80" t="str">
        <f>IFERROR(__xludf.DUMMYFUNCTION("""COMPUTED_VALUE"""),"Ber")</f>
        <v>Ber</v>
      </c>
      <c r="C9" s="79" t="str">
        <f>IFERROR(__xludf.DUMMYFUNCTION("""COMPUTED_VALUE"""),"Apple")</f>
        <v>Apple</v>
      </c>
      <c r="D9" s="81" t="str">
        <f>IFERROR(__xludf.DUMMYFUNCTION("""COMPUTED_VALUE"""),"Grafted")</f>
        <v>Grafted</v>
      </c>
      <c r="E9" s="81" t="str">
        <f>IFERROR(__xludf.DUMMYFUNCTION("""COMPUTED_VALUE"""),"Apple Ber + Ber")</f>
        <v>Apple Ber + Ber</v>
      </c>
      <c r="F9" s="82">
        <f>IFERROR(__xludf.DUMMYFUNCTION("""COMPUTED_VALUE"""),85.0)</f>
        <v>85</v>
      </c>
      <c r="G9" s="82">
        <f>IFERROR(__xludf.DUMMYFUNCTION("""COMPUTED_VALUE"""),0.0)</f>
        <v>0</v>
      </c>
      <c r="H9" s="82">
        <f>IFERROR(__xludf.DUMMYFUNCTION("""COMPUTED_VALUE"""),0.0)</f>
        <v>0</v>
      </c>
      <c r="I9" s="82">
        <f>IFERROR(__xludf.DUMMYFUNCTION("""COMPUTED_VALUE"""),0.0)</f>
        <v>0</v>
      </c>
      <c r="J9" s="82">
        <f>IFERROR(__xludf.DUMMYFUNCTION("""COMPUTED_VALUE"""),85.0)</f>
        <v>85</v>
      </c>
      <c r="K9" s="83">
        <f>IFERROR(__xludf.DUMMYFUNCTION("""COMPUTED_VALUE"""),60.0)</f>
        <v>60</v>
      </c>
      <c r="L9" s="83">
        <f>IFERROR(__xludf.DUMMYFUNCTION("""COMPUTED_VALUE"""),25.0)</f>
        <v>25</v>
      </c>
      <c r="M9" s="83"/>
      <c r="N9" s="83"/>
      <c r="O9" s="83"/>
      <c r="P9" s="84"/>
      <c r="Q9" s="4"/>
      <c r="R9" s="52"/>
      <c r="S9" s="52"/>
      <c r="T9" s="52"/>
      <c r="U9" s="52"/>
      <c r="V9" s="52"/>
      <c r="W9" s="52"/>
      <c r="X9" s="52"/>
      <c r="Y9" s="52"/>
      <c r="Z9" s="52"/>
    </row>
    <row r="10">
      <c r="A10" s="79">
        <f>IFERROR(__xludf.DUMMYFUNCTION("""COMPUTED_VALUE"""),8.0)</f>
        <v>8</v>
      </c>
      <c r="B10" s="80" t="str">
        <f>IFERROR(__xludf.DUMMYFUNCTION("""COMPUTED_VALUE"""),"Curry Leaf ")</f>
        <v>Curry Leaf </v>
      </c>
      <c r="C10" s="79" t="str">
        <f>IFERROR(__xludf.DUMMYFUNCTION("""COMPUTED_VALUE"""),"DWD-2")</f>
        <v>DWD-2</v>
      </c>
      <c r="D10" s="81" t="str">
        <f>IFERROR(__xludf.DUMMYFUNCTION("""COMPUTED_VALUE"""),"Cutting")</f>
        <v>Cutting</v>
      </c>
      <c r="E10" s="81" t="str">
        <f>IFERROR(__xludf.DUMMYFUNCTION("""COMPUTED_VALUE"""),"-")</f>
        <v>-</v>
      </c>
      <c r="F10" s="82">
        <f>IFERROR(__xludf.DUMMYFUNCTION("""COMPUTED_VALUE"""),138.0)</f>
        <v>138</v>
      </c>
      <c r="G10" s="82">
        <f>IFERROR(__xludf.DUMMYFUNCTION("""COMPUTED_VALUE"""),0.0)</f>
        <v>0</v>
      </c>
      <c r="H10" s="82">
        <f>IFERROR(__xludf.DUMMYFUNCTION("""COMPUTED_VALUE"""),0.0)</f>
        <v>0</v>
      </c>
      <c r="I10" s="82">
        <f>IFERROR(__xludf.DUMMYFUNCTION("""COMPUTED_VALUE"""),5.0)</f>
        <v>5</v>
      </c>
      <c r="J10" s="82">
        <f>IFERROR(__xludf.DUMMYFUNCTION("""COMPUTED_VALUE"""),133.0)</f>
        <v>133</v>
      </c>
      <c r="K10" s="83">
        <f>IFERROR(__xludf.DUMMYFUNCTION("""COMPUTED_VALUE"""),100.0)</f>
        <v>100</v>
      </c>
      <c r="L10" s="83">
        <f>IFERROR(__xludf.DUMMYFUNCTION("""COMPUTED_VALUE"""),33.0)</f>
        <v>33</v>
      </c>
      <c r="M10" s="83"/>
      <c r="N10" s="83"/>
      <c r="O10" s="83"/>
      <c r="P10" s="84"/>
      <c r="Q10" s="4"/>
      <c r="R10" s="52"/>
      <c r="S10" s="52"/>
      <c r="T10" s="52"/>
      <c r="U10" s="52"/>
      <c r="V10" s="52"/>
      <c r="W10" s="52"/>
      <c r="X10" s="52"/>
      <c r="Y10" s="52"/>
      <c r="Z10" s="52"/>
    </row>
    <row r="11">
      <c r="A11" s="79">
        <f>IFERROR(__xludf.DUMMYFUNCTION("""COMPUTED_VALUE"""),9.0)</f>
        <v>9</v>
      </c>
      <c r="B11" s="80" t="str">
        <f>IFERROR(__xludf.DUMMYFUNCTION("""COMPUTED_VALUE"""),"Dragon Fruit")</f>
        <v>Dragon Fruit</v>
      </c>
      <c r="C11" s="79" t="str">
        <f>IFERROR(__xludf.DUMMYFUNCTION("""COMPUTED_VALUE"""),"Red")</f>
        <v>Red</v>
      </c>
      <c r="D11" s="81" t="str">
        <f>IFERROR(__xludf.DUMMYFUNCTION("""COMPUTED_VALUE"""),"Cutting")</f>
        <v>Cutting</v>
      </c>
      <c r="E11" s="81" t="str">
        <f>IFERROR(__xludf.DUMMYFUNCTION("""COMPUTED_VALUE"""),"-")</f>
        <v>-</v>
      </c>
      <c r="F11" s="82">
        <f>IFERROR(__xludf.DUMMYFUNCTION("""COMPUTED_VALUE"""),97.0)</f>
        <v>97</v>
      </c>
      <c r="G11" s="82">
        <f>IFERROR(__xludf.DUMMYFUNCTION("""COMPUTED_VALUE"""),0.0)</f>
        <v>0</v>
      </c>
      <c r="H11" s="82">
        <f>IFERROR(__xludf.DUMMYFUNCTION("""COMPUTED_VALUE"""),0.0)</f>
        <v>0</v>
      </c>
      <c r="I11" s="82">
        <f>IFERROR(__xludf.DUMMYFUNCTION("""COMPUTED_VALUE"""),1.0)</f>
        <v>1</v>
      </c>
      <c r="J11" s="82">
        <f>IFERROR(__xludf.DUMMYFUNCTION("""COMPUTED_VALUE"""),96.0)</f>
        <v>96</v>
      </c>
      <c r="K11" s="83">
        <f>IFERROR(__xludf.DUMMYFUNCTION("""COMPUTED_VALUE"""),50.0)</f>
        <v>50</v>
      </c>
      <c r="L11" s="83">
        <f>IFERROR(__xludf.DUMMYFUNCTION("""COMPUTED_VALUE"""),46.0)</f>
        <v>46</v>
      </c>
      <c r="M11" s="83"/>
      <c r="N11" s="83"/>
      <c r="O11" s="83"/>
      <c r="P11" s="84"/>
      <c r="Q11" s="4"/>
      <c r="R11" s="52"/>
      <c r="S11" s="52"/>
      <c r="T11" s="52"/>
      <c r="U11" s="52"/>
      <c r="V11" s="52"/>
      <c r="W11" s="52"/>
      <c r="X11" s="52"/>
      <c r="Y11" s="52"/>
      <c r="Z11" s="52"/>
    </row>
    <row r="12">
      <c r="A12" s="79">
        <f>IFERROR(__xludf.DUMMYFUNCTION("""COMPUTED_VALUE"""),10.0)</f>
        <v>10</v>
      </c>
      <c r="B12" s="80" t="str">
        <f>IFERROR(__xludf.DUMMYFUNCTION("""COMPUTED_VALUE"""),"Dragon Fruit")</f>
        <v>Dragon Fruit</v>
      </c>
      <c r="C12" s="79" t="str">
        <f>IFERROR(__xludf.DUMMYFUNCTION("""COMPUTED_VALUE"""),"White")</f>
        <v>White</v>
      </c>
      <c r="D12" s="81" t="str">
        <f>IFERROR(__xludf.DUMMYFUNCTION("""COMPUTED_VALUE"""),"Cutting")</f>
        <v>Cutting</v>
      </c>
      <c r="E12" s="81" t="str">
        <f>IFERROR(__xludf.DUMMYFUNCTION("""COMPUTED_VALUE"""),"-")</f>
        <v>-</v>
      </c>
      <c r="F12" s="82">
        <f>IFERROR(__xludf.DUMMYFUNCTION("""COMPUTED_VALUE"""),60.0)</f>
        <v>60</v>
      </c>
      <c r="G12" s="82">
        <f>IFERROR(__xludf.DUMMYFUNCTION("""COMPUTED_VALUE"""),0.0)</f>
        <v>0</v>
      </c>
      <c r="H12" s="82">
        <f>IFERROR(__xludf.DUMMYFUNCTION("""COMPUTED_VALUE"""),0.0)</f>
        <v>0</v>
      </c>
      <c r="I12" s="82">
        <f>IFERROR(__xludf.DUMMYFUNCTION("""COMPUTED_VALUE"""),0.0)</f>
        <v>0</v>
      </c>
      <c r="J12" s="82">
        <f>IFERROR(__xludf.DUMMYFUNCTION("""COMPUTED_VALUE"""),60.0)</f>
        <v>60</v>
      </c>
      <c r="K12" s="83">
        <f>IFERROR(__xludf.DUMMYFUNCTION("""COMPUTED_VALUE"""),60.0)</f>
        <v>60</v>
      </c>
      <c r="L12" s="83"/>
      <c r="M12" s="83"/>
      <c r="N12" s="83"/>
      <c r="O12" s="83"/>
      <c r="P12" s="84"/>
      <c r="Q12" s="4"/>
      <c r="R12" s="52"/>
      <c r="S12" s="52"/>
      <c r="T12" s="52"/>
      <c r="U12" s="52"/>
      <c r="V12" s="52"/>
      <c r="W12" s="52"/>
      <c r="X12" s="52"/>
      <c r="Y12" s="52"/>
      <c r="Z12" s="52"/>
    </row>
    <row r="13">
      <c r="A13" s="79">
        <f>IFERROR(__xludf.DUMMYFUNCTION("""COMPUTED_VALUE"""),11.0)</f>
        <v>11</v>
      </c>
      <c r="B13" s="80" t="str">
        <f>IFERROR(__xludf.DUMMYFUNCTION("""COMPUTED_VALUE"""),"Drum Stick")</f>
        <v>Drum Stick</v>
      </c>
      <c r="C13" s="79" t="str">
        <f>IFERROR(__xludf.DUMMYFUNCTION("""COMPUTED_VALUE"""),"VNR Moringa")</f>
        <v>VNR Moringa</v>
      </c>
      <c r="D13" s="81" t="str">
        <f>IFERROR(__xludf.DUMMYFUNCTION("""COMPUTED_VALUE"""),"Cutting")</f>
        <v>Cutting</v>
      </c>
      <c r="E13" s="81"/>
      <c r="F13" s="85" t="str">
        <f>IFERROR(__xludf.DUMMYFUNCTION("""COMPUTED_VALUE"""),"0")</f>
        <v>0</v>
      </c>
      <c r="G13" s="85">
        <f>IFERROR(__xludf.DUMMYFUNCTION("""COMPUTED_VALUE"""),0.0)</f>
        <v>0</v>
      </c>
      <c r="H13" s="85">
        <f>IFERROR(__xludf.DUMMYFUNCTION("""COMPUTED_VALUE"""),0.0)</f>
        <v>0</v>
      </c>
      <c r="I13" s="85">
        <f>IFERROR(__xludf.DUMMYFUNCTION("""COMPUTED_VALUE"""),0.0)</f>
        <v>0</v>
      </c>
      <c r="J13" s="85">
        <f>IFERROR(__xludf.DUMMYFUNCTION("""COMPUTED_VALUE"""),0.0)</f>
        <v>0</v>
      </c>
      <c r="K13" s="86">
        <f>IFERROR(__xludf.DUMMYFUNCTION("""COMPUTED_VALUE"""),0.0)</f>
        <v>0</v>
      </c>
      <c r="L13" s="83"/>
      <c r="M13" s="83"/>
      <c r="N13" s="83"/>
      <c r="O13" s="83"/>
      <c r="P13" s="84"/>
      <c r="Q13" s="4"/>
      <c r="R13" s="52"/>
      <c r="S13" s="52"/>
      <c r="T13" s="52"/>
      <c r="U13" s="52"/>
      <c r="V13" s="52"/>
      <c r="W13" s="52"/>
      <c r="X13" s="52"/>
      <c r="Y13" s="52"/>
      <c r="Z13" s="52"/>
    </row>
    <row r="14">
      <c r="A14" s="79">
        <f>IFERROR(__xludf.DUMMYFUNCTION("""COMPUTED_VALUE"""),12.0)</f>
        <v>12</v>
      </c>
      <c r="B14" s="80" t="str">
        <f>IFERROR(__xludf.DUMMYFUNCTION("""COMPUTED_VALUE"""),"Fig")</f>
        <v>Fig</v>
      </c>
      <c r="C14" s="79" t="str">
        <f>IFERROR(__xludf.DUMMYFUNCTION("""COMPUTED_VALUE"""),"Deanna")</f>
        <v>Deanna</v>
      </c>
      <c r="D14" s="81" t="str">
        <f>IFERROR(__xludf.DUMMYFUNCTION("""COMPUTED_VALUE"""),"Cutting")</f>
        <v>Cutting</v>
      </c>
      <c r="E14" s="81" t="str">
        <f>IFERROR(__xludf.DUMMYFUNCTION("""COMPUTED_VALUE"""),"-")</f>
        <v>-</v>
      </c>
      <c r="F14" s="82">
        <f>IFERROR(__xludf.DUMMYFUNCTION("""COMPUTED_VALUE"""),71.0)</f>
        <v>71</v>
      </c>
      <c r="G14" s="82">
        <f>IFERROR(__xludf.DUMMYFUNCTION("""COMPUTED_VALUE"""),0.0)</f>
        <v>0</v>
      </c>
      <c r="H14" s="82">
        <f>IFERROR(__xludf.DUMMYFUNCTION("""COMPUTED_VALUE"""),0.0)</f>
        <v>0</v>
      </c>
      <c r="I14" s="82">
        <f>IFERROR(__xludf.DUMMYFUNCTION("""COMPUTED_VALUE"""),11.0)</f>
        <v>11</v>
      </c>
      <c r="J14" s="82">
        <f>IFERROR(__xludf.DUMMYFUNCTION("""COMPUTED_VALUE"""),60.0)</f>
        <v>60</v>
      </c>
      <c r="K14" s="83">
        <f>IFERROR(__xludf.DUMMYFUNCTION("""COMPUTED_VALUE"""),40.0)</f>
        <v>40</v>
      </c>
      <c r="L14" s="83">
        <f>IFERROR(__xludf.DUMMYFUNCTION("""COMPUTED_VALUE"""),20.0)</f>
        <v>20</v>
      </c>
      <c r="M14" s="83"/>
      <c r="N14" s="83"/>
      <c r="O14" s="83"/>
      <c r="P14" s="84"/>
      <c r="Q14" s="4"/>
      <c r="R14" s="52"/>
      <c r="S14" s="52"/>
      <c r="T14" s="52"/>
      <c r="U14" s="52"/>
      <c r="V14" s="52"/>
      <c r="W14" s="52"/>
      <c r="X14" s="52"/>
      <c r="Y14" s="52"/>
      <c r="Z14" s="52"/>
    </row>
    <row r="15">
      <c r="A15" s="79">
        <f>IFERROR(__xludf.DUMMYFUNCTION("""COMPUTED_VALUE"""),13.0)</f>
        <v>13</v>
      </c>
      <c r="B15" s="80" t="str">
        <f>IFERROR(__xludf.DUMMYFUNCTION("""COMPUTED_VALUE"""),"Fig")</f>
        <v>Fig</v>
      </c>
      <c r="C15" s="79" t="str">
        <f>IFERROR(__xludf.DUMMYFUNCTION("""COMPUTED_VALUE"""),"Excel")</f>
        <v>Excel</v>
      </c>
      <c r="D15" s="81" t="str">
        <f>IFERROR(__xludf.DUMMYFUNCTION("""COMPUTED_VALUE"""),"Cutting")</f>
        <v>Cutting</v>
      </c>
      <c r="E15" s="81" t="str">
        <f>IFERROR(__xludf.DUMMYFUNCTION("""COMPUTED_VALUE"""),"-")</f>
        <v>-</v>
      </c>
      <c r="F15" s="82">
        <f>IFERROR(__xludf.DUMMYFUNCTION("""COMPUTED_VALUE"""),61.0)</f>
        <v>61</v>
      </c>
      <c r="G15" s="82">
        <f>IFERROR(__xludf.DUMMYFUNCTION("""COMPUTED_VALUE"""),0.0)</f>
        <v>0</v>
      </c>
      <c r="H15" s="82">
        <f>IFERROR(__xludf.DUMMYFUNCTION("""COMPUTED_VALUE"""),0.0)</f>
        <v>0</v>
      </c>
      <c r="I15" s="82">
        <f>IFERROR(__xludf.DUMMYFUNCTION("""COMPUTED_VALUE"""),1.0)</f>
        <v>1</v>
      </c>
      <c r="J15" s="82">
        <f>IFERROR(__xludf.DUMMYFUNCTION("""COMPUTED_VALUE"""),60.0)</f>
        <v>60</v>
      </c>
      <c r="K15" s="83">
        <f>IFERROR(__xludf.DUMMYFUNCTION("""COMPUTED_VALUE"""),50.0)</f>
        <v>50</v>
      </c>
      <c r="L15" s="83"/>
      <c r="M15" s="83">
        <f>IFERROR(__xludf.DUMMYFUNCTION("""COMPUTED_VALUE"""),10.0)</f>
        <v>10</v>
      </c>
      <c r="N15" s="83"/>
      <c r="O15" s="83"/>
      <c r="P15" s="84"/>
      <c r="Q15" s="4"/>
      <c r="R15" s="52"/>
      <c r="S15" s="52"/>
      <c r="T15" s="52"/>
      <c r="U15" s="52"/>
      <c r="V15" s="52"/>
      <c r="W15" s="52"/>
      <c r="X15" s="52"/>
      <c r="Y15" s="52"/>
      <c r="Z15" s="52"/>
    </row>
    <row r="16">
      <c r="A16" s="79">
        <f>IFERROR(__xludf.DUMMYFUNCTION("""COMPUTED_VALUE"""),14.0)</f>
        <v>14</v>
      </c>
      <c r="B16" s="80" t="str">
        <f>IFERROR(__xludf.DUMMYFUNCTION("""COMPUTED_VALUE"""),"Fig")</f>
        <v>Fig</v>
      </c>
      <c r="C16" s="79" t="str">
        <f>IFERROR(__xludf.DUMMYFUNCTION("""COMPUTED_VALUE"""),"Daulatabad")</f>
        <v>Daulatabad</v>
      </c>
      <c r="D16" s="81" t="str">
        <f>IFERROR(__xludf.DUMMYFUNCTION("""COMPUTED_VALUE"""),"Cutting")</f>
        <v>Cutting</v>
      </c>
      <c r="E16" s="81" t="str">
        <f>IFERROR(__xludf.DUMMYFUNCTION("""COMPUTED_VALUE"""),"-")</f>
        <v>-</v>
      </c>
      <c r="F16" s="82">
        <f>IFERROR(__xludf.DUMMYFUNCTION("""COMPUTED_VALUE"""),48.0)</f>
        <v>48</v>
      </c>
      <c r="G16" s="82">
        <f>IFERROR(__xludf.DUMMYFUNCTION("""COMPUTED_VALUE"""),0.0)</f>
        <v>0</v>
      </c>
      <c r="H16" s="82">
        <f>IFERROR(__xludf.DUMMYFUNCTION("""COMPUTED_VALUE"""),0.0)</f>
        <v>0</v>
      </c>
      <c r="I16" s="82">
        <f>IFERROR(__xludf.DUMMYFUNCTION("""COMPUTED_VALUE"""),2.0)</f>
        <v>2</v>
      </c>
      <c r="J16" s="82">
        <f>IFERROR(__xludf.DUMMYFUNCTION("""COMPUTED_VALUE"""),46.0)</f>
        <v>46</v>
      </c>
      <c r="K16" s="83">
        <f>IFERROR(__xludf.DUMMYFUNCTION("""COMPUTED_VALUE"""),20.0)</f>
        <v>20</v>
      </c>
      <c r="L16" s="83"/>
      <c r="M16" s="83"/>
      <c r="N16" s="83"/>
      <c r="O16" s="83"/>
      <c r="P16" s="84"/>
      <c r="Q16" s="4">
        <f>IFERROR(__xludf.DUMMYFUNCTION("""COMPUTED_VALUE"""),26.0)</f>
        <v>26</v>
      </c>
      <c r="R16" s="52"/>
      <c r="S16" s="52"/>
      <c r="T16" s="52"/>
      <c r="U16" s="52"/>
      <c r="V16" s="52"/>
      <c r="W16" s="52"/>
      <c r="X16" s="52"/>
      <c r="Y16" s="52"/>
      <c r="Z16" s="52"/>
    </row>
    <row r="17">
      <c r="A17" s="79">
        <f>IFERROR(__xludf.DUMMYFUNCTION("""COMPUTED_VALUE"""),15.0)</f>
        <v>15</v>
      </c>
      <c r="B17" s="80" t="str">
        <f>IFERROR(__xludf.DUMMYFUNCTION("""COMPUTED_VALUE"""),"Grapefruit ")</f>
        <v>Grapefruit </v>
      </c>
      <c r="C17" s="79" t="str">
        <f>IFERROR(__xludf.DUMMYFUNCTION("""COMPUTED_VALUE"""),"VNR Lali")</f>
        <v>VNR Lali</v>
      </c>
      <c r="D17" s="81" t="str">
        <f>IFERROR(__xludf.DUMMYFUNCTION("""COMPUTED_VALUE"""),"Grafted")</f>
        <v>Grafted</v>
      </c>
      <c r="E17" s="81" t="str">
        <f>IFERROR(__xludf.DUMMYFUNCTION("""COMPUTED_VALUE"""),"Grapefruit + KK")</f>
        <v>Grapefruit + KK</v>
      </c>
      <c r="F17" s="82">
        <f>IFERROR(__xludf.DUMMYFUNCTION("""COMPUTED_VALUE"""),54.0)</f>
        <v>54</v>
      </c>
      <c r="G17" s="82">
        <f>IFERROR(__xludf.DUMMYFUNCTION("""COMPUTED_VALUE"""),0.0)</f>
        <v>0</v>
      </c>
      <c r="H17" s="82">
        <f>IFERROR(__xludf.DUMMYFUNCTION("""COMPUTED_VALUE"""),0.0)</f>
        <v>0</v>
      </c>
      <c r="I17" s="82">
        <f>IFERROR(__xludf.DUMMYFUNCTION("""COMPUTED_VALUE"""),0.0)</f>
        <v>0</v>
      </c>
      <c r="J17" s="82">
        <f>IFERROR(__xludf.DUMMYFUNCTION("""COMPUTED_VALUE"""),54.0)</f>
        <v>54</v>
      </c>
      <c r="K17" s="83">
        <f>IFERROR(__xludf.DUMMYFUNCTION("""COMPUTED_VALUE"""),54.0)</f>
        <v>54</v>
      </c>
      <c r="L17" s="83"/>
      <c r="M17" s="83"/>
      <c r="N17" s="83"/>
      <c r="O17" s="83"/>
      <c r="P17" s="84"/>
      <c r="Q17" s="4"/>
      <c r="R17" s="52"/>
      <c r="S17" s="52"/>
      <c r="T17" s="52"/>
      <c r="U17" s="52"/>
      <c r="V17" s="52"/>
      <c r="W17" s="52"/>
      <c r="X17" s="52"/>
      <c r="Y17" s="52"/>
      <c r="Z17" s="52"/>
    </row>
    <row r="18">
      <c r="A18" s="79">
        <f>IFERROR(__xludf.DUMMYFUNCTION("""COMPUTED_VALUE"""),16.0)</f>
        <v>16</v>
      </c>
      <c r="B18" s="80" t="str">
        <f>IFERROR(__xludf.DUMMYFUNCTION("""COMPUTED_VALUE"""),"Guava ")</f>
        <v>Guava </v>
      </c>
      <c r="C18" s="79" t="str">
        <f>IFERROR(__xludf.DUMMYFUNCTION("""COMPUTED_VALUE"""),"VNR Bihi")</f>
        <v>VNR Bihi</v>
      </c>
      <c r="D18" s="81" t="str">
        <f>IFERROR(__xludf.DUMMYFUNCTION("""COMPUTED_VALUE"""),"Grafted")</f>
        <v>Grafted</v>
      </c>
      <c r="E18" s="81" t="str">
        <f>IFERROR(__xludf.DUMMYFUNCTION("""COMPUTED_VALUE"""),"VNR BIHI + Guava")</f>
        <v>VNR BIHI + Guava</v>
      </c>
      <c r="F18" s="82">
        <f>IFERROR(__xludf.DUMMYFUNCTION("""COMPUTED_VALUE"""),77030.0)</f>
        <v>77030</v>
      </c>
      <c r="G18" s="82">
        <f>IFERROR(__xludf.DUMMYFUNCTION("""COMPUTED_VALUE"""),30810.0)</f>
        <v>30810</v>
      </c>
      <c r="H18" s="82">
        <f>IFERROR(__xludf.DUMMYFUNCTION("""COMPUTED_VALUE"""),0.0)</f>
        <v>0</v>
      </c>
      <c r="I18" s="82">
        <f>IFERROR(__xludf.DUMMYFUNCTION("""COMPUTED_VALUE"""),1587.0)</f>
        <v>1587</v>
      </c>
      <c r="J18" s="82">
        <f>IFERROR(__xludf.DUMMYFUNCTION("""COMPUTED_VALUE"""),106253.0)</f>
        <v>106253</v>
      </c>
      <c r="K18" s="83">
        <f>IFERROR(__xludf.DUMMYFUNCTION("""COMPUTED_VALUE"""),36063.0)</f>
        <v>36063</v>
      </c>
      <c r="L18" s="83">
        <f>IFERROR(__xludf.DUMMYFUNCTION("""COMPUTED_VALUE"""),15000.0)</f>
        <v>15000</v>
      </c>
      <c r="M18" s="83">
        <f>IFERROR(__xludf.DUMMYFUNCTION("""COMPUTED_VALUE"""),15000.0)</f>
        <v>15000</v>
      </c>
      <c r="N18" s="83">
        <f>IFERROR(__xludf.DUMMYFUNCTION("""COMPUTED_VALUE"""),20000.0)</f>
        <v>20000</v>
      </c>
      <c r="O18" s="83">
        <f>IFERROR(__xludf.DUMMYFUNCTION("""COMPUTED_VALUE"""),10000.0)</f>
        <v>10000</v>
      </c>
      <c r="P18" s="84">
        <f>IFERROR(__xludf.DUMMYFUNCTION("""COMPUTED_VALUE"""),10190.0)</f>
        <v>10190</v>
      </c>
      <c r="Q18" s="4"/>
      <c r="R18" s="52"/>
      <c r="S18" s="52"/>
      <c r="T18" s="52"/>
      <c r="U18" s="52"/>
      <c r="V18" s="52"/>
      <c r="W18" s="52"/>
      <c r="X18" s="52"/>
      <c r="Y18" s="52"/>
      <c r="Z18" s="52"/>
    </row>
    <row r="19">
      <c r="A19" s="79">
        <f>IFERROR(__xludf.DUMMYFUNCTION("""COMPUTED_VALUE"""),17.0)</f>
        <v>17</v>
      </c>
      <c r="B19" s="80" t="str">
        <f>IFERROR(__xludf.DUMMYFUNCTION("""COMPUTED_VALUE"""),"Guava ")</f>
        <v>Guava </v>
      </c>
      <c r="C19" s="79" t="str">
        <f>IFERROR(__xludf.DUMMYFUNCTION("""COMPUTED_VALUE"""),"VNR Carmine")</f>
        <v>VNR Carmine</v>
      </c>
      <c r="D19" s="81" t="str">
        <f>IFERROR(__xludf.DUMMYFUNCTION("""COMPUTED_VALUE"""),"Grafted")</f>
        <v>Grafted</v>
      </c>
      <c r="E19" s="81" t="str">
        <f>IFERROR(__xludf.DUMMYFUNCTION("""COMPUTED_VALUE"""),"VNR Carmine + Guava")</f>
        <v>VNR Carmine + Guava</v>
      </c>
      <c r="F19" s="82">
        <f>IFERROR(__xludf.DUMMYFUNCTION("""COMPUTED_VALUE"""),80.0)</f>
        <v>80</v>
      </c>
      <c r="G19" s="82">
        <f>IFERROR(__xludf.DUMMYFUNCTION("""COMPUTED_VALUE"""),0.0)</f>
        <v>0</v>
      </c>
      <c r="H19" s="82">
        <f>IFERROR(__xludf.DUMMYFUNCTION("""COMPUTED_VALUE"""),0.0)</f>
        <v>0</v>
      </c>
      <c r="I19" s="82">
        <f>IFERROR(__xludf.DUMMYFUNCTION("""COMPUTED_VALUE"""),0.0)</f>
        <v>0</v>
      </c>
      <c r="J19" s="82">
        <f>IFERROR(__xludf.DUMMYFUNCTION("""COMPUTED_VALUE"""),80.0)</f>
        <v>80</v>
      </c>
      <c r="K19" s="83">
        <f>IFERROR(__xludf.DUMMYFUNCTION("""COMPUTED_VALUE"""),0.0)</f>
        <v>0</v>
      </c>
      <c r="L19" s="83">
        <f>IFERROR(__xludf.DUMMYFUNCTION("""COMPUTED_VALUE"""),80.0)</f>
        <v>80</v>
      </c>
      <c r="M19" s="83"/>
      <c r="N19" s="83"/>
      <c r="O19" s="83"/>
      <c r="P19" s="84"/>
      <c r="Q19" s="4"/>
      <c r="R19" s="52"/>
      <c r="S19" s="52"/>
      <c r="T19" s="52"/>
      <c r="U19" s="52"/>
      <c r="V19" s="52"/>
      <c r="W19" s="52"/>
      <c r="X19" s="52"/>
      <c r="Y19" s="52"/>
      <c r="Z19" s="52"/>
    </row>
    <row r="20">
      <c r="A20" s="79">
        <f>IFERROR(__xludf.DUMMYFUNCTION("""COMPUTED_VALUE"""),18.0)</f>
        <v>18</v>
      </c>
      <c r="B20" s="80" t="str">
        <f>IFERROR(__xludf.DUMMYFUNCTION("""COMPUTED_VALUE"""),"Jackfruit ")</f>
        <v>Jackfruit </v>
      </c>
      <c r="C20" s="79" t="str">
        <f>IFERROR(__xludf.DUMMYFUNCTION("""COMPUTED_VALUE"""),"VNR - 1")</f>
        <v>VNR - 1</v>
      </c>
      <c r="D20" s="81" t="str">
        <f>IFERROR(__xludf.DUMMYFUNCTION("""COMPUTED_VALUE"""),"Grafted")</f>
        <v>Grafted</v>
      </c>
      <c r="E20" s="81" t="str">
        <f>IFERROR(__xludf.DUMMYFUNCTION("""COMPUTED_VALUE"""),"VNR Kathal + Jackfruit")</f>
        <v>VNR Kathal + Jackfruit</v>
      </c>
      <c r="F20" s="82">
        <f>IFERROR(__xludf.DUMMYFUNCTION("""COMPUTED_VALUE"""),32.0)</f>
        <v>32</v>
      </c>
      <c r="G20" s="82">
        <f>IFERROR(__xludf.DUMMYFUNCTION("""COMPUTED_VALUE"""),0.0)</f>
        <v>0</v>
      </c>
      <c r="H20" s="82">
        <f>IFERROR(__xludf.DUMMYFUNCTION("""COMPUTED_VALUE"""),0.0)</f>
        <v>0</v>
      </c>
      <c r="I20" s="82">
        <f>IFERROR(__xludf.DUMMYFUNCTION("""COMPUTED_VALUE"""),15.0)</f>
        <v>15</v>
      </c>
      <c r="J20" s="82">
        <f>IFERROR(__xludf.DUMMYFUNCTION("""COMPUTED_VALUE"""),17.0)</f>
        <v>17</v>
      </c>
      <c r="K20" s="83">
        <f>IFERROR(__xludf.DUMMYFUNCTION("""COMPUTED_VALUE"""),10.0)</f>
        <v>10</v>
      </c>
      <c r="L20" s="83"/>
      <c r="M20" s="83"/>
      <c r="N20" s="83"/>
      <c r="O20" s="83"/>
      <c r="P20" s="84"/>
      <c r="Q20" s="4">
        <f>IFERROR(__xludf.DUMMYFUNCTION("""COMPUTED_VALUE"""),7.0)</f>
        <v>7</v>
      </c>
      <c r="R20" s="52"/>
      <c r="S20" s="52"/>
      <c r="T20" s="52"/>
      <c r="U20" s="52"/>
      <c r="V20" s="52"/>
      <c r="W20" s="52"/>
      <c r="X20" s="52"/>
      <c r="Y20" s="52"/>
      <c r="Z20" s="52"/>
    </row>
    <row r="21">
      <c r="A21" s="79">
        <f>IFERROR(__xludf.DUMMYFUNCTION("""COMPUTED_VALUE"""),19.0)</f>
        <v>19</v>
      </c>
      <c r="B21" s="80" t="str">
        <f>IFERROR(__xludf.DUMMYFUNCTION("""COMPUTED_VALUE"""),"Jackfruit ")</f>
        <v>Jackfruit </v>
      </c>
      <c r="C21" s="79" t="str">
        <f>IFERROR(__xludf.DUMMYFUNCTION("""COMPUTED_VALUE"""),"VNR Jack - E")</f>
        <v>VNR Jack - E</v>
      </c>
      <c r="D21" s="81" t="str">
        <f>IFERROR(__xludf.DUMMYFUNCTION("""COMPUTED_VALUE"""),"Budded")</f>
        <v>Budded</v>
      </c>
      <c r="E21" s="81" t="str">
        <f>IFERROR(__xludf.DUMMYFUNCTION("""COMPUTED_VALUE"""),"Jack-E + Jackfruit")</f>
        <v>Jack-E + Jackfruit</v>
      </c>
      <c r="F21" s="82">
        <f>IFERROR(__xludf.DUMMYFUNCTION("""COMPUTED_VALUE"""),0.0)</f>
        <v>0</v>
      </c>
      <c r="G21" s="82">
        <f>IFERROR(__xludf.DUMMYFUNCTION("""COMPUTED_VALUE"""),54.0)</f>
        <v>54</v>
      </c>
      <c r="H21" s="82">
        <f>IFERROR(__xludf.DUMMYFUNCTION("""COMPUTED_VALUE"""),0.0)</f>
        <v>0</v>
      </c>
      <c r="I21" s="82">
        <f>IFERROR(__xludf.DUMMYFUNCTION("""COMPUTED_VALUE"""),0.0)</f>
        <v>0</v>
      </c>
      <c r="J21" s="82">
        <f>IFERROR(__xludf.DUMMYFUNCTION("""COMPUTED_VALUE"""),54.0)</f>
        <v>54</v>
      </c>
      <c r="K21" s="83">
        <f>IFERROR(__xludf.DUMMYFUNCTION("""COMPUTED_VALUE"""),20.0)</f>
        <v>20</v>
      </c>
      <c r="L21" s="83">
        <f>IFERROR(__xludf.DUMMYFUNCTION("""COMPUTED_VALUE"""),34.0)</f>
        <v>34</v>
      </c>
      <c r="M21" s="83"/>
      <c r="N21" s="83"/>
      <c r="O21" s="83"/>
      <c r="P21" s="84"/>
      <c r="Q21" s="4"/>
      <c r="R21" s="52"/>
      <c r="S21" s="52"/>
      <c r="T21" s="52"/>
      <c r="U21" s="52"/>
      <c r="V21" s="52"/>
      <c r="W21" s="52"/>
      <c r="X21" s="52"/>
      <c r="Y21" s="52"/>
      <c r="Z21" s="52"/>
    </row>
    <row r="22">
      <c r="A22" s="79">
        <f>IFERROR(__xludf.DUMMYFUNCTION("""COMPUTED_VALUE"""),20.0)</f>
        <v>20</v>
      </c>
      <c r="B22" s="80" t="str">
        <f>IFERROR(__xludf.DUMMYFUNCTION("""COMPUTED_VALUE"""),"Jamun")</f>
        <v>Jamun</v>
      </c>
      <c r="C22" s="79" t="str">
        <f>IFERROR(__xludf.DUMMYFUNCTION("""COMPUTED_VALUE"""),"Gomapriyanka")</f>
        <v>Gomapriyanka</v>
      </c>
      <c r="D22" s="81" t="str">
        <f>IFERROR(__xludf.DUMMYFUNCTION("""COMPUTED_VALUE"""),"Grafted")</f>
        <v>Grafted</v>
      </c>
      <c r="E22" s="81" t="str">
        <f>IFERROR(__xludf.DUMMYFUNCTION("""COMPUTED_VALUE"""),"Goma Priyanka + Jamun")</f>
        <v>Goma Priyanka + Jamun</v>
      </c>
      <c r="F22" s="82">
        <f>IFERROR(__xludf.DUMMYFUNCTION("""COMPUTED_VALUE"""),85.0)</f>
        <v>85</v>
      </c>
      <c r="G22" s="82">
        <f>IFERROR(__xludf.DUMMYFUNCTION("""COMPUTED_VALUE"""),0.0)</f>
        <v>0</v>
      </c>
      <c r="H22" s="82">
        <f>IFERROR(__xludf.DUMMYFUNCTION("""COMPUTED_VALUE"""),0.0)</f>
        <v>0</v>
      </c>
      <c r="I22" s="82">
        <f>IFERROR(__xludf.DUMMYFUNCTION("""COMPUTED_VALUE"""),0.0)</f>
        <v>0</v>
      </c>
      <c r="J22" s="82">
        <f>IFERROR(__xludf.DUMMYFUNCTION("""COMPUTED_VALUE"""),85.0)</f>
        <v>85</v>
      </c>
      <c r="K22" s="83">
        <f>IFERROR(__xludf.DUMMYFUNCTION("""COMPUTED_VALUE"""),60.0)</f>
        <v>60</v>
      </c>
      <c r="L22" s="83">
        <f>IFERROR(__xludf.DUMMYFUNCTION("""COMPUTED_VALUE"""),25.0)</f>
        <v>25</v>
      </c>
      <c r="M22" s="83"/>
      <c r="N22" s="83"/>
      <c r="O22" s="83"/>
      <c r="P22" s="84"/>
      <c r="Q22" s="4"/>
      <c r="R22" s="52"/>
      <c r="S22" s="52"/>
      <c r="T22" s="52"/>
      <c r="U22" s="52"/>
      <c r="V22" s="52"/>
      <c r="W22" s="52"/>
      <c r="X22" s="52"/>
      <c r="Y22" s="52"/>
      <c r="Z22" s="52"/>
    </row>
    <row r="23">
      <c r="A23" s="79">
        <f>IFERROR(__xludf.DUMMYFUNCTION("""COMPUTED_VALUE"""),21.0)</f>
        <v>21</v>
      </c>
      <c r="B23" s="80" t="str">
        <f>IFERROR(__xludf.DUMMYFUNCTION("""COMPUTED_VALUE"""),"Jamun")</f>
        <v>Jamun</v>
      </c>
      <c r="C23" s="79" t="str">
        <f>IFERROR(__xludf.DUMMYFUNCTION("""COMPUTED_VALUE"""),"Bahadoli")</f>
        <v>Bahadoli</v>
      </c>
      <c r="D23" s="81" t="str">
        <f>IFERROR(__xludf.DUMMYFUNCTION("""COMPUTED_VALUE"""),"Grafted")</f>
        <v>Grafted</v>
      </c>
      <c r="E23" s="81" t="str">
        <f>IFERROR(__xludf.DUMMYFUNCTION("""COMPUTED_VALUE"""),"Badholi + Jamun")</f>
        <v>Badholi + Jamun</v>
      </c>
      <c r="F23" s="82">
        <f>IFERROR(__xludf.DUMMYFUNCTION("""COMPUTED_VALUE"""),103.0)</f>
        <v>103</v>
      </c>
      <c r="G23" s="82">
        <f>IFERROR(__xludf.DUMMYFUNCTION("""COMPUTED_VALUE"""),0.0)</f>
        <v>0</v>
      </c>
      <c r="H23" s="82">
        <f>IFERROR(__xludf.DUMMYFUNCTION("""COMPUTED_VALUE"""),0.0)</f>
        <v>0</v>
      </c>
      <c r="I23" s="82">
        <f>IFERROR(__xludf.DUMMYFUNCTION("""COMPUTED_VALUE"""),5.0)</f>
        <v>5</v>
      </c>
      <c r="J23" s="82">
        <f>IFERROR(__xludf.DUMMYFUNCTION("""COMPUTED_VALUE"""),98.0)</f>
        <v>98</v>
      </c>
      <c r="K23" s="83">
        <f>IFERROR(__xludf.DUMMYFUNCTION("""COMPUTED_VALUE"""),60.0)</f>
        <v>60</v>
      </c>
      <c r="L23" s="83">
        <f>IFERROR(__xludf.DUMMYFUNCTION("""COMPUTED_VALUE"""),38.0)</f>
        <v>38</v>
      </c>
      <c r="M23" s="83"/>
      <c r="N23" s="83"/>
      <c r="O23" s="83"/>
      <c r="P23" s="84"/>
      <c r="Q23" s="4"/>
      <c r="R23" s="52"/>
      <c r="S23" s="52"/>
      <c r="T23" s="52"/>
      <c r="U23" s="52"/>
      <c r="V23" s="52"/>
      <c r="W23" s="52"/>
      <c r="X23" s="52"/>
      <c r="Y23" s="52"/>
      <c r="Z23" s="52"/>
    </row>
    <row r="24">
      <c r="A24" s="79">
        <f>IFERROR(__xludf.DUMMYFUNCTION("""COMPUTED_VALUE"""),22.0)</f>
        <v>22</v>
      </c>
      <c r="B24" s="80" t="str">
        <f>IFERROR(__xludf.DUMMYFUNCTION("""COMPUTED_VALUE"""),"Kamrakh")</f>
        <v>Kamrakh</v>
      </c>
      <c r="C24" s="79" t="str">
        <f>IFERROR(__xludf.DUMMYFUNCTION("""COMPUTED_VALUE"""),"VNR Naval")</f>
        <v>VNR Naval</v>
      </c>
      <c r="D24" s="81" t="str">
        <f>IFERROR(__xludf.DUMMYFUNCTION("""COMPUTED_VALUE"""),"Grafted")</f>
        <v>Grafted</v>
      </c>
      <c r="E24" s="81" t="str">
        <f>IFERROR(__xludf.DUMMYFUNCTION("""COMPUTED_VALUE"""),"VNR Naval + Kamrakh")</f>
        <v>VNR Naval + Kamrakh</v>
      </c>
      <c r="F24" s="82">
        <f>IFERROR(__xludf.DUMMYFUNCTION("""COMPUTED_VALUE"""),15.0)</f>
        <v>15</v>
      </c>
      <c r="G24" s="82">
        <f>IFERROR(__xludf.DUMMYFUNCTION("""COMPUTED_VALUE"""),0.0)</f>
        <v>0</v>
      </c>
      <c r="H24" s="82">
        <f>IFERROR(__xludf.DUMMYFUNCTION("""COMPUTED_VALUE"""),0.0)</f>
        <v>0</v>
      </c>
      <c r="I24" s="82">
        <f>IFERROR(__xludf.DUMMYFUNCTION("""COMPUTED_VALUE"""),0.0)</f>
        <v>0</v>
      </c>
      <c r="J24" s="82">
        <f>IFERROR(__xludf.DUMMYFUNCTION("""COMPUTED_VALUE"""),15.0)</f>
        <v>15</v>
      </c>
      <c r="K24" s="83">
        <f>IFERROR(__xludf.DUMMYFUNCTION("""COMPUTED_VALUE"""),15.0)</f>
        <v>15</v>
      </c>
      <c r="L24" s="83"/>
      <c r="M24" s="83"/>
      <c r="N24" s="83"/>
      <c r="O24" s="83"/>
      <c r="P24" s="84"/>
      <c r="Q24" s="4"/>
      <c r="R24" s="52"/>
      <c r="S24" s="52"/>
      <c r="T24" s="52"/>
      <c r="U24" s="52"/>
      <c r="V24" s="52"/>
      <c r="W24" s="52"/>
      <c r="X24" s="52"/>
      <c r="Y24" s="52"/>
      <c r="Z24" s="52"/>
    </row>
    <row r="25">
      <c r="A25" s="79">
        <f>IFERROR(__xludf.DUMMYFUNCTION("""COMPUTED_VALUE"""),23.0)</f>
        <v>23</v>
      </c>
      <c r="B25" s="80" t="str">
        <f>IFERROR(__xludf.DUMMYFUNCTION("""COMPUTED_VALUE"""),"Kamrakh")</f>
        <v>Kamrakh</v>
      </c>
      <c r="C25" s="79" t="str">
        <f>IFERROR(__xludf.DUMMYFUNCTION("""COMPUTED_VALUE"""),"Chakulia")</f>
        <v>Chakulia</v>
      </c>
      <c r="D25" s="81"/>
      <c r="E25" s="81" t="str">
        <f>IFERROR(__xludf.DUMMYFUNCTION("""COMPUTED_VALUE"""),"Kamrakh Chakulia + Kamrakh")</f>
        <v>Kamrakh Chakulia + Kamrakh</v>
      </c>
      <c r="F25" s="82">
        <f>IFERROR(__xludf.DUMMYFUNCTION("""COMPUTED_VALUE"""),0.0)</f>
        <v>0</v>
      </c>
      <c r="G25" s="82">
        <f>IFERROR(__xludf.DUMMYFUNCTION("""COMPUTED_VALUE"""),0.0)</f>
        <v>0</v>
      </c>
      <c r="H25" s="82">
        <f>IFERROR(__xludf.DUMMYFUNCTION("""COMPUTED_VALUE"""),0.0)</f>
        <v>0</v>
      </c>
      <c r="I25" s="82">
        <f>IFERROR(__xludf.DUMMYFUNCTION("""COMPUTED_VALUE"""),0.0)</f>
        <v>0</v>
      </c>
      <c r="J25" s="82">
        <f>IFERROR(__xludf.DUMMYFUNCTION("""COMPUTED_VALUE"""),0.0)</f>
        <v>0</v>
      </c>
      <c r="K25" s="83">
        <f>IFERROR(__xludf.DUMMYFUNCTION("""COMPUTED_VALUE"""),0.0)</f>
        <v>0</v>
      </c>
      <c r="L25" s="83"/>
      <c r="M25" s="83"/>
      <c r="N25" s="83"/>
      <c r="O25" s="83"/>
      <c r="P25" s="84"/>
      <c r="Q25" s="4"/>
      <c r="R25" s="52"/>
      <c r="S25" s="52"/>
      <c r="T25" s="52"/>
      <c r="U25" s="52"/>
      <c r="V25" s="52"/>
      <c r="W25" s="52"/>
      <c r="X25" s="52"/>
      <c r="Y25" s="52"/>
      <c r="Z25" s="52"/>
    </row>
    <row r="26">
      <c r="A26" s="79">
        <f>IFERROR(__xludf.DUMMYFUNCTION("""COMPUTED_VALUE"""),24.0)</f>
        <v>24</v>
      </c>
      <c r="B26" s="80" t="str">
        <f>IFERROR(__xludf.DUMMYFUNCTION("""COMPUTED_VALUE"""),"Karonda")</f>
        <v>Karonda</v>
      </c>
      <c r="C26" s="79" t="str">
        <f>IFERROR(__xludf.DUMMYFUNCTION("""COMPUTED_VALUE"""),"VNR - 1")</f>
        <v>VNR - 1</v>
      </c>
      <c r="D26" s="81" t="str">
        <f>IFERROR(__xludf.DUMMYFUNCTION("""COMPUTED_VALUE"""),"Seedling")</f>
        <v>Seedling</v>
      </c>
      <c r="E26" s="81" t="str">
        <f>IFERROR(__xludf.DUMMYFUNCTION("""COMPUTED_VALUE"""),"-")</f>
        <v>-</v>
      </c>
      <c r="F26" s="82">
        <f>IFERROR(__xludf.DUMMYFUNCTION("""COMPUTED_VALUE"""),4936.0)</f>
        <v>4936</v>
      </c>
      <c r="G26" s="82">
        <f>IFERROR(__xludf.DUMMYFUNCTION("""COMPUTED_VALUE"""),0.0)</f>
        <v>0</v>
      </c>
      <c r="H26" s="82">
        <f>IFERROR(__xludf.DUMMYFUNCTION("""COMPUTED_VALUE"""),0.0)</f>
        <v>0</v>
      </c>
      <c r="I26" s="82">
        <f>IFERROR(__xludf.DUMMYFUNCTION("""COMPUTED_VALUE"""),0.0)</f>
        <v>0</v>
      </c>
      <c r="J26" s="82">
        <f>IFERROR(__xludf.DUMMYFUNCTION("""COMPUTED_VALUE"""),4936.0)</f>
        <v>4936</v>
      </c>
      <c r="K26" s="83">
        <f>IFERROR(__xludf.DUMMYFUNCTION("""COMPUTED_VALUE"""),4936.0)</f>
        <v>4936</v>
      </c>
      <c r="L26" s="83"/>
      <c r="M26" s="83"/>
      <c r="N26" s="83"/>
      <c r="O26" s="83"/>
      <c r="P26" s="84"/>
      <c r="Q26" s="4"/>
      <c r="R26" s="52"/>
      <c r="S26" s="52"/>
      <c r="T26" s="52"/>
      <c r="U26" s="52"/>
      <c r="V26" s="52"/>
      <c r="W26" s="52"/>
      <c r="X26" s="52"/>
      <c r="Y26" s="52"/>
      <c r="Z26" s="52"/>
    </row>
    <row r="27">
      <c r="A27" s="79">
        <f>IFERROR(__xludf.DUMMYFUNCTION("""COMPUTED_VALUE"""),25.0)</f>
        <v>25</v>
      </c>
      <c r="B27" s="80" t="str">
        <f>IFERROR(__xludf.DUMMYFUNCTION("""COMPUTED_VALUE"""),"Karonda")</f>
        <v>Karonda</v>
      </c>
      <c r="C27" s="79" t="str">
        <f>IFERROR(__xludf.DUMMYFUNCTION("""COMPUTED_VALUE"""),"Americana")</f>
        <v>Americana</v>
      </c>
      <c r="D27" s="81" t="str">
        <f>IFERROR(__xludf.DUMMYFUNCTION("""COMPUTED_VALUE"""),"Seedling")</f>
        <v>Seedling</v>
      </c>
      <c r="E27" s="81" t="str">
        <f>IFERROR(__xludf.DUMMYFUNCTION("""COMPUTED_VALUE"""),"-")</f>
        <v>-</v>
      </c>
      <c r="F27" s="82">
        <f>IFERROR(__xludf.DUMMYFUNCTION("""COMPUTED_VALUE"""),928.0)</f>
        <v>928</v>
      </c>
      <c r="G27" s="82">
        <f>IFERROR(__xludf.DUMMYFUNCTION("""COMPUTED_VALUE"""),285.0)</f>
        <v>285</v>
      </c>
      <c r="H27" s="82">
        <f>IFERROR(__xludf.DUMMYFUNCTION("""COMPUTED_VALUE"""),470.0)</f>
        <v>470</v>
      </c>
      <c r="I27" s="82">
        <f>IFERROR(__xludf.DUMMYFUNCTION("""COMPUTED_VALUE"""),39.0)</f>
        <v>39</v>
      </c>
      <c r="J27" s="82">
        <f>IFERROR(__xludf.DUMMYFUNCTION("""COMPUTED_VALUE"""),704.0)</f>
        <v>704</v>
      </c>
      <c r="K27" s="83">
        <f>IFERROR(__xludf.DUMMYFUNCTION("""COMPUTED_VALUE"""),30.0)</f>
        <v>30</v>
      </c>
      <c r="L27" s="83"/>
      <c r="M27" s="83"/>
      <c r="N27" s="83"/>
      <c r="O27" s="83">
        <f>IFERROR(__xludf.DUMMYFUNCTION("""COMPUTED_VALUE"""),674.0)</f>
        <v>674</v>
      </c>
      <c r="P27" s="84"/>
      <c r="Q27" s="4"/>
      <c r="R27" s="52"/>
      <c r="S27" s="52"/>
      <c r="T27" s="52"/>
      <c r="U27" s="52"/>
      <c r="V27" s="52"/>
      <c r="W27" s="52"/>
      <c r="X27" s="52"/>
      <c r="Y27" s="52"/>
      <c r="Z27" s="52"/>
    </row>
    <row r="28">
      <c r="A28" s="79">
        <f>IFERROR(__xludf.DUMMYFUNCTION("""COMPUTED_VALUE"""),26.0)</f>
        <v>26</v>
      </c>
      <c r="B28" s="80" t="str">
        <f>IFERROR(__xludf.DUMMYFUNCTION("""COMPUTED_VALUE"""),"Kinnow")</f>
        <v>Kinnow</v>
      </c>
      <c r="C28" s="79" t="str">
        <f>IFERROR(__xludf.DUMMYFUNCTION("""COMPUTED_VALUE"""),"Mandarin")</f>
        <v>Mandarin</v>
      </c>
      <c r="D28" s="81" t="str">
        <f>IFERROR(__xludf.DUMMYFUNCTION("""COMPUTED_VALUE"""),"Grafted")</f>
        <v>Grafted</v>
      </c>
      <c r="E28" s="81" t="str">
        <f>IFERROR(__xludf.DUMMYFUNCTION("""COMPUTED_VALUE"""),"Kinnow Mandarin + NC")</f>
        <v>Kinnow Mandarin + NC</v>
      </c>
      <c r="F28" s="85" t="str">
        <f>IFERROR(__xludf.DUMMYFUNCTION("""COMPUTED_VALUE"""),"0")</f>
        <v>0</v>
      </c>
      <c r="G28" s="85">
        <f>IFERROR(__xludf.DUMMYFUNCTION("""COMPUTED_VALUE"""),0.0)</f>
        <v>0</v>
      </c>
      <c r="H28" s="85">
        <f>IFERROR(__xludf.DUMMYFUNCTION("""COMPUTED_VALUE"""),0.0)</f>
        <v>0</v>
      </c>
      <c r="I28" s="85">
        <f>IFERROR(__xludf.DUMMYFUNCTION("""COMPUTED_VALUE"""),0.0)</f>
        <v>0</v>
      </c>
      <c r="J28" s="85">
        <f>IFERROR(__xludf.DUMMYFUNCTION("""COMPUTED_VALUE"""),0.0)</f>
        <v>0</v>
      </c>
      <c r="K28" s="86">
        <f>IFERROR(__xludf.DUMMYFUNCTION("""COMPUTED_VALUE"""),0.0)</f>
        <v>0</v>
      </c>
      <c r="L28" s="83"/>
      <c r="M28" s="83"/>
      <c r="N28" s="83"/>
      <c r="O28" s="83"/>
      <c r="P28" s="84"/>
      <c r="Q28" s="4"/>
      <c r="R28" s="52"/>
      <c r="S28" s="52"/>
      <c r="T28" s="52"/>
      <c r="U28" s="52"/>
      <c r="V28" s="52"/>
      <c r="W28" s="52"/>
      <c r="X28" s="52"/>
      <c r="Y28" s="52"/>
      <c r="Z28" s="52"/>
    </row>
    <row r="29">
      <c r="A29" s="79">
        <f>IFERROR(__xludf.DUMMYFUNCTION("""COMPUTED_VALUE"""),27.0)</f>
        <v>27</v>
      </c>
      <c r="B29" s="80" t="str">
        <f>IFERROR(__xludf.DUMMYFUNCTION("""COMPUTED_VALUE"""),"Lemon")</f>
        <v>Lemon</v>
      </c>
      <c r="C29" s="79" t="str">
        <f>IFERROR(__xludf.DUMMYFUNCTION("""COMPUTED_VALUE"""),"Konkan")</f>
        <v>Konkan</v>
      </c>
      <c r="D29" s="81" t="str">
        <f>IFERROR(__xludf.DUMMYFUNCTION("""COMPUTED_VALUE"""),"Grafted")</f>
        <v>Grafted</v>
      </c>
      <c r="E29" s="81" t="str">
        <f>IFERROR(__xludf.DUMMYFUNCTION("""COMPUTED_VALUE"""),"Konkan Lemon + JB")</f>
        <v>Konkan Lemon + JB</v>
      </c>
      <c r="F29" s="82">
        <f>IFERROR(__xludf.DUMMYFUNCTION("""COMPUTED_VALUE"""),9.0)</f>
        <v>9</v>
      </c>
      <c r="G29" s="82">
        <f>IFERROR(__xludf.DUMMYFUNCTION("""COMPUTED_VALUE"""),0.0)</f>
        <v>0</v>
      </c>
      <c r="H29" s="82">
        <f>IFERROR(__xludf.DUMMYFUNCTION("""COMPUTED_VALUE"""),0.0)</f>
        <v>0</v>
      </c>
      <c r="I29" s="82">
        <f>IFERROR(__xludf.DUMMYFUNCTION("""COMPUTED_VALUE"""),0.0)</f>
        <v>0</v>
      </c>
      <c r="J29" s="82">
        <f>IFERROR(__xludf.DUMMYFUNCTION("""COMPUTED_VALUE"""),9.0)</f>
        <v>9</v>
      </c>
      <c r="K29" s="83">
        <f>IFERROR(__xludf.DUMMYFUNCTION("""COMPUTED_VALUE"""),9.0)</f>
        <v>9</v>
      </c>
      <c r="L29" s="83"/>
      <c r="M29" s="83"/>
      <c r="N29" s="83"/>
      <c r="O29" s="83"/>
      <c r="P29" s="84"/>
      <c r="Q29" s="4"/>
      <c r="R29" s="52"/>
      <c r="S29" s="52"/>
      <c r="T29" s="52"/>
      <c r="U29" s="52"/>
      <c r="V29" s="52"/>
      <c r="W29" s="52"/>
      <c r="X29" s="52"/>
      <c r="Y29" s="52"/>
      <c r="Z29" s="52"/>
    </row>
    <row r="30">
      <c r="A30" s="79">
        <f>IFERROR(__xludf.DUMMYFUNCTION("""COMPUTED_VALUE"""),28.0)</f>
        <v>28</v>
      </c>
      <c r="B30" s="80" t="str">
        <f>IFERROR(__xludf.DUMMYFUNCTION("""COMPUTED_VALUE"""),"Lemon")</f>
        <v>Lemon</v>
      </c>
      <c r="C30" s="79" t="str">
        <f>IFERROR(__xludf.DUMMYFUNCTION("""COMPUTED_VALUE"""),"VNR Sharbati")</f>
        <v>VNR Sharbati</v>
      </c>
      <c r="D30" s="81" t="str">
        <f>IFERROR(__xludf.DUMMYFUNCTION("""COMPUTED_VALUE"""),"Grafted")</f>
        <v>Grafted</v>
      </c>
      <c r="E30" s="81" t="str">
        <f>IFERROR(__xludf.DUMMYFUNCTION("""COMPUTED_VALUE"""),"Sharbati + JB")</f>
        <v>Sharbati + JB</v>
      </c>
      <c r="F30" s="82">
        <f>IFERROR(__xludf.DUMMYFUNCTION("""COMPUTED_VALUE"""),22.0)</f>
        <v>22</v>
      </c>
      <c r="G30" s="82">
        <f>IFERROR(__xludf.DUMMYFUNCTION("""COMPUTED_VALUE"""),0.0)</f>
        <v>0</v>
      </c>
      <c r="H30" s="82">
        <f>IFERROR(__xludf.DUMMYFUNCTION("""COMPUTED_VALUE"""),0.0)</f>
        <v>0</v>
      </c>
      <c r="I30" s="82">
        <f>IFERROR(__xludf.DUMMYFUNCTION("""COMPUTED_VALUE"""),0.0)</f>
        <v>0</v>
      </c>
      <c r="J30" s="82">
        <f>IFERROR(__xludf.DUMMYFUNCTION("""COMPUTED_VALUE"""),22.0)</f>
        <v>22</v>
      </c>
      <c r="K30" s="83">
        <f>IFERROR(__xludf.DUMMYFUNCTION("""COMPUTED_VALUE"""),10.0)</f>
        <v>10</v>
      </c>
      <c r="L30" s="83">
        <f>IFERROR(__xludf.DUMMYFUNCTION("""COMPUTED_VALUE"""),12.0)</f>
        <v>12</v>
      </c>
      <c r="M30" s="83"/>
      <c r="N30" s="83"/>
      <c r="O30" s="83"/>
      <c r="P30" s="84"/>
      <c r="Q30" s="4"/>
      <c r="R30" s="52"/>
      <c r="S30" s="52"/>
      <c r="T30" s="52"/>
      <c r="U30" s="52"/>
      <c r="V30" s="52"/>
      <c r="W30" s="52"/>
      <c r="X30" s="52"/>
      <c r="Y30" s="52"/>
      <c r="Z30" s="52"/>
    </row>
    <row r="31">
      <c r="A31" s="79">
        <f>IFERROR(__xludf.DUMMYFUNCTION("""COMPUTED_VALUE"""),29.0)</f>
        <v>29</v>
      </c>
      <c r="B31" s="80" t="str">
        <f>IFERROR(__xludf.DUMMYFUNCTION("""COMPUTED_VALUE"""),"Lemon")</f>
        <v>Lemon</v>
      </c>
      <c r="C31" s="79" t="str">
        <f>IFERROR(__xludf.DUMMYFUNCTION("""COMPUTED_VALUE"""),"VNR Mahesh")</f>
        <v>VNR Mahesh</v>
      </c>
      <c r="D31" s="81" t="str">
        <f>IFERROR(__xludf.DUMMYFUNCTION("""COMPUTED_VALUE"""),"Grafted")</f>
        <v>Grafted</v>
      </c>
      <c r="E31" s="81"/>
      <c r="F31" s="82">
        <f>IFERROR(__xludf.DUMMYFUNCTION("""COMPUTED_VALUE"""),21.0)</f>
        <v>21</v>
      </c>
      <c r="G31" s="82">
        <f>IFERROR(__xludf.DUMMYFUNCTION("""COMPUTED_VALUE"""),0.0)</f>
        <v>0</v>
      </c>
      <c r="H31" s="82">
        <f>IFERROR(__xludf.DUMMYFUNCTION("""COMPUTED_VALUE"""),0.0)</f>
        <v>0</v>
      </c>
      <c r="I31" s="82">
        <f>IFERROR(__xludf.DUMMYFUNCTION("""COMPUTED_VALUE"""),0.0)</f>
        <v>0</v>
      </c>
      <c r="J31" s="82">
        <f>IFERROR(__xludf.DUMMYFUNCTION("""COMPUTED_VALUE"""),21.0)</f>
        <v>21</v>
      </c>
      <c r="K31" s="83">
        <f>IFERROR(__xludf.DUMMYFUNCTION("""COMPUTED_VALUE"""),10.0)</f>
        <v>10</v>
      </c>
      <c r="L31" s="83">
        <f>IFERROR(__xludf.DUMMYFUNCTION("""COMPUTED_VALUE"""),11.0)</f>
        <v>11</v>
      </c>
      <c r="M31" s="83"/>
      <c r="N31" s="83"/>
      <c r="O31" s="83"/>
      <c r="P31" s="84"/>
      <c r="Q31" s="4"/>
      <c r="R31" s="52"/>
      <c r="S31" s="52"/>
      <c r="T31" s="52"/>
      <c r="U31" s="52"/>
      <c r="V31" s="52"/>
      <c r="W31" s="52"/>
      <c r="X31" s="52"/>
      <c r="Y31" s="52"/>
      <c r="Z31" s="52"/>
    </row>
    <row r="32">
      <c r="A32" s="79">
        <f>IFERROR(__xludf.DUMMYFUNCTION("""COMPUTED_VALUE"""),30.0)</f>
        <v>30</v>
      </c>
      <c r="B32" s="80" t="str">
        <f>IFERROR(__xludf.DUMMYFUNCTION("""COMPUTED_VALUE"""),"Lime")</f>
        <v>Lime</v>
      </c>
      <c r="C32" s="79" t="str">
        <f>IFERROR(__xludf.DUMMYFUNCTION("""COMPUTED_VALUE"""),"VNR Parvati")</f>
        <v>VNR Parvati</v>
      </c>
      <c r="D32" s="81" t="str">
        <f>IFERROR(__xludf.DUMMYFUNCTION("""COMPUTED_VALUE"""),"Grafted")</f>
        <v>Grafted</v>
      </c>
      <c r="E32" s="81"/>
      <c r="F32" s="82">
        <f>IFERROR(__xludf.DUMMYFUNCTION("""COMPUTED_VALUE"""),0.0)</f>
        <v>0</v>
      </c>
      <c r="G32" s="82">
        <f>IFERROR(__xludf.DUMMYFUNCTION("""COMPUTED_VALUE"""),0.0)</f>
        <v>0</v>
      </c>
      <c r="H32" s="82">
        <f>IFERROR(__xludf.DUMMYFUNCTION("""COMPUTED_VALUE"""),0.0)</f>
        <v>0</v>
      </c>
      <c r="I32" s="82">
        <f>IFERROR(__xludf.DUMMYFUNCTION("""COMPUTED_VALUE"""),0.0)</f>
        <v>0</v>
      </c>
      <c r="J32" s="82">
        <f>IFERROR(__xludf.DUMMYFUNCTION("""COMPUTED_VALUE"""),0.0)</f>
        <v>0</v>
      </c>
      <c r="K32" s="83">
        <f>IFERROR(__xludf.DUMMYFUNCTION("""COMPUTED_VALUE"""),0.0)</f>
        <v>0</v>
      </c>
      <c r="L32" s="83"/>
      <c r="M32" s="83"/>
      <c r="N32" s="83"/>
      <c r="O32" s="83"/>
      <c r="P32" s="84"/>
      <c r="Q32" s="4"/>
      <c r="R32" s="52"/>
      <c r="S32" s="52"/>
      <c r="T32" s="52"/>
      <c r="U32" s="52"/>
      <c r="V32" s="52"/>
      <c r="W32" s="52"/>
      <c r="X32" s="52"/>
      <c r="Y32" s="52"/>
      <c r="Z32" s="52"/>
    </row>
    <row r="33">
      <c r="A33" s="79">
        <f>IFERROR(__xludf.DUMMYFUNCTION("""COMPUTED_VALUE"""),31.0)</f>
        <v>31</v>
      </c>
      <c r="B33" s="80" t="str">
        <f>IFERROR(__xludf.DUMMYFUNCTION("""COMPUTED_VALUE"""),"Lime")</f>
        <v>Lime</v>
      </c>
      <c r="C33" s="79" t="str">
        <f>IFERROR(__xludf.DUMMYFUNCTION("""COMPUTED_VALUE"""),"Balaji")</f>
        <v>Balaji</v>
      </c>
      <c r="D33" s="81" t="str">
        <f>IFERROR(__xludf.DUMMYFUNCTION("""COMPUTED_VALUE"""),"Seedling")</f>
        <v>Seedling</v>
      </c>
      <c r="E33" s="81"/>
      <c r="F33" s="82">
        <f>IFERROR(__xludf.DUMMYFUNCTION("""COMPUTED_VALUE"""),0.0)</f>
        <v>0</v>
      </c>
      <c r="G33" s="82">
        <f>IFERROR(__xludf.DUMMYFUNCTION("""COMPUTED_VALUE"""),0.0)</f>
        <v>0</v>
      </c>
      <c r="H33" s="82">
        <f>IFERROR(__xludf.DUMMYFUNCTION("""COMPUTED_VALUE"""),0.0)</f>
        <v>0</v>
      </c>
      <c r="I33" s="82">
        <f>IFERROR(__xludf.DUMMYFUNCTION("""COMPUTED_VALUE"""),0.0)</f>
        <v>0</v>
      </c>
      <c r="J33" s="82">
        <f>IFERROR(__xludf.DUMMYFUNCTION("""COMPUTED_VALUE"""),0.0)</f>
        <v>0</v>
      </c>
      <c r="K33" s="83">
        <f>IFERROR(__xludf.DUMMYFUNCTION("""COMPUTED_VALUE"""),0.0)</f>
        <v>0</v>
      </c>
      <c r="L33" s="83"/>
      <c r="M33" s="83"/>
      <c r="N33" s="83"/>
      <c r="O33" s="83"/>
      <c r="P33" s="84"/>
      <c r="Q33" s="4"/>
      <c r="R33" s="52"/>
      <c r="S33" s="52"/>
      <c r="T33" s="52"/>
      <c r="U33" s="52"/>
      <c r="V33" s="52"/>
      <c r="W33" s="52"/>
      <c r="X33" s="52"/>
      <c r="Y33" s="52"/>
      <c r="Z33" s="52"/>
    </row>
    <row r="34">
      <c r="A34" s="79">
        <f>IFERROR(__xludf.DUMMYFUNCTION("""COMPUTED_VALUE"""),32.0)</f>
        <v>32</v>
      </c>
      <c r="B34" s="80" t="str">
        <f>IFERROR(__xludf.DUMMYFUNCTION("""COMPUTED_VALUE"""),"Lime")</f>
        <v>Lime</v>
      </c>
      <c r="C34" s="79" t="str">
        <f>IFERROR(__xludf.DUMMYFUNCTION("""COMPUTED_VALUE"""),"VNR Rasvanti")</f>
        <v>VNR Rasvanti</v>
      </c>
      <c r="D34" s="81" t="str">
        <f>IFERROR(__xludf.DUMMYFUNCTION("""COMPUTED_VALUE"""),"Grafted")</f>
        <v>Grafted</v>
      </c>
      <c r="E34" s="81"/>
      <c r="F34" s="85" t="str">
        <f>IFERROR(__xludf.DUMMYFUNCTION("""COMPUTED_VALUE"""),"0")</f>
        <v>0</v>
      </c>
      <c r="G34" s="85">
        <f>IFERROR(__xludf.DUMMYFUNCTION("""COMPUTED_VALUE"""),0.0)</f>
        <v>0</v>
      </c>
      <c r="H34" s="85">
        <f>IFERROR(__xludf.DUMMYFUNCTION("""COMPUTED_VALUE"""),0.0)</f>
        <v>0</v>
      </c>
      <c r="I34" s="85">
        <f>IFERROR(__xludf.DUMMYFUNCTION("""COMPUTED_VALUE"""),0.0)</f>
        <v>0</v>
      </c>
      <c r="J34" s="85">
        <f>IFERROR(__xludf.DUMMYFUNCTION("""COMPUTED_VALUE"""),0.0)</f>
        <v>0</v>
      </c>
      <c r="K34" s="86">
        <f>IFERROR(__xludf.DUMMYFUNCTION("""COMPUTED_VALUE"""),0.0)</f>
        <v>0</v>
      </c>
      <c r="L34" s="83"/>
      <c r="M34" s="83"/>
      <c r="N34" s="83"/>
      <c r="O34" s="83"/>
      <c r="P34" s="84"/>
      <c r="Q34" s="4"/>
      <c r="R34" s="52"/>
      <c r="S34" s="52"/>
      <c r="T34" s="52"/>
      <c r="U34" s="52"/>
      <c r="V34" s="52"/>
      <c r="W34" s="52"/>
      <c r="X34" s="52"/>
      <c r="Y34" s="52"/>
      <c r="Z34" s="52"/>
    </row>
    <row r="35">
      <c r="A35" s="79">
        <f>IFERROR(__xludf.DUMMYFUNCTION("""COMPUTED_VALUE"""),33.0)</f>
        <v>33</v>
      </c>
      <c r="B35" s="80" t="str">
        <f>IFERROR(__xludf.DUMMYFUNCTION("""COMPUTED_VALUE"""),"Lime")</f>
        <v>Lime</v>
      </c>
      <c r="C35" s="79" t="str">
        <f>IFERROR(__xludf.DUMMYFUNCTION("""COMPUTED_VALUE"""),"VNR-1")</f>
        <v>VNR-1</v>
      </c>
      <c r="D35" s="81" t="str">
        <f>IFERROR(__xludf.DUMMYFUNCTION("""COMPUTED_VALUE"""),"Seedling")</f>
        <v>Seedling</v>
      </c>
      <c r="E35" s="81"/>
      <c r="F35" s="82">
        <f>IFERROR(__xludf.DUMMYFUNCTION("""COMPUTED_VALUE"""),0.0)</f>
        <v>0</v>
      </c>
      <c r="G35" s="82">
        <f>IFERROR(__xludf.DUMMYFUNCTION("""COMPUTED_VALUE"""),0.0)</f>
        <v>0</v>
      </c>
      <c r="H35" s="82">
        <f>IFERROR(__xludf.DUMMYFUNCTION("""COMPUTED_VALUE"""),0.0)</f>
        <v>0</v>
      </c>
      <c r="I35" s="82">
        <f>IFERROR(__xludf.DUMMYFUNCTION("""COMPUTED_VALUE"""),0.0)</f>
        <v>0</v>
      </c>
      <c r="J35" s="82">
        <f>IFERROR(__xludf.DUMMYFUNCTION("""COMPUTED_VALUE"""),0.0)</f>
        <v>0</v>
      </c>
      <c r="K35" s="83">
        <f>IFERROR(__xludf.DUMMYFUNCTION("""COMPUTED_VALUE"""),0.0)</f>
        <v>0</v>
      </c>
      <c r="L35" s="83"/>
      <c r="M35" s="83"/>
      <c r="N35" s="83"/>
      <c r="O35" s="83"/>
      <c r="P35" s="84"/>
      <c r="Q35" s="4"/>
      <c r="R35" s="52"/>
      <c r="S35" s="52"/>
      <c r="T35" s="52"/>
      <c r="U35" s="52"/>
      <c r="V35" s="52"/>
      <c r="W35" s="52"/>
      <c r="X35" s="52"/>
      <c r="Y35" s="52"/>
      <c r="Z35" s="52"/>
    </row>
    <row r="36">
      <c r="A36" s="79">
        <f>IFERROR(__xludf.DUMMYFUNCTION("""COMPUTED_VALUE"""),34.0)</f>
        <v>34</v>
      </c>
      <c r="B36" s="80" t="str">
        <f>IFERROR(__xludf.DUMMYFUNCTION("""COMPUTED_VALUE"""),"Lime")</f>
        <v>Lime</v>
      </c>
      <c r="C36" s="79" t="str">
        <f>IFERROR(__xludf.DUMMYFUNCTION("""COMPUTED_VALUE"""),"VNR Sameer")</f>
        <v>VNR Sameer</v>
      </c>
      <c r="D36" s="81" t="str">
        <f>IFERROR(__xludf.DUMMYFUNCTION("""COMPUTED_VALUE"""),"Grafted")</f>
        <v>Grafted</v>
      </c>
      <c r="E36" s="81"/>
      <c r="F36" s="85" t="str">
        <f>IFERROR(__xludf.DUMMYFUNCTION("""COMPUTED_VALUE"""),"0")</f>
        <v>0</v>
      </c>
      <c r="G36" s="85">
        <f>IFERROR(__xludf.DUMMYFUNCTION("""COMPUTED_VALUE"""),0.0)</f>
        <v>0</v>
      </c>
      <c r="H36" s="85">
        <f>IFERROR(__xludf.DUMMYFUNCTION("""COMPUTED_VALUE"""),0.0)</f>
        <v>0</v>
      </c>
      <c r="I36" s="85">
        <f>IFERROR(__xludf.DUMMYFUNCTION("""COMPUTED_VALUE"""),0.0)</f>
        <v>0</v>
      </c>
      <c r="J36" s="85">
        <f>IFERROR(__xludf.DUMMYFUNCTION("""COMPUTED_VALUE"""),0.0)</f>
        <v>0</v>
      </c>
      <c r="K36" s="86">
        <f>IFERROR(__xludf.DUMMYFUNCTION("""COMPUTED_VALUE"""),0.0)</f>
        <v>0</v>
      </c>
      <c r="L36" s="83"/>
      <c r="M36" s="83"/>
      <c r="N36" s="83"/>
      <c r="O36" s="83"/>
      <c r="P36" s="84"/>
      <c r="Q36" s="4"/>
      <c r="R36" s="52"/>
      <c r="S36" s="52"/>
      <c r="T36" s="52"/>
      <c r="U36" s="52"/>
      <c r="V36" s="52"/>
      <c r="W36" s="52"/>
      <c r="X36" s="52"/>
      <c r="Y36" s="52"/>
      <c r="Z36" s="52"/>
    </row>
    <row r="37">
      <c r="A37" s="79">
        <f>IFERROR(__xludf.DUMMYFUNCTION("""COMPUTED_VALUE"""),35.0)</f>
        <v>35</v>
      </c>
      <c r="B37" s="80" t="str">
        <f>IFERROR(__xludf.DUMMYFUNCTION("""COMPUTED_VALUE"""),"Mosambi")</f>
        <v>Mosambi</v>
      </c>
      <c r="C37" s="79" t="str">
        <f>IFERROR(__xludf.DUMMYFUNCTION("""COMPUTED_VALUE"""),"Katol Gold")</f>
        <v>Katol Gold</v>
      </c>
      <c r="D37" s="81" t="str">
        <f>IFERROR(__xludf.DUMMYFUNCTION("""COMPUTED_VALUE"""),"Grafted")</f>
        <v>Grafted</v>
      </c>
      <c r="E37" s="81" t="str">
        <f>IFERROR(__xludf.DUMMYFUNCTION("""COMPUTED_VALUE"""),"Katol Gold + JB")</f>
        <v>Katol Gold + JB</v>
      </c>
      <c r="F37" s="82">
        <f>IFERROR(__xludf.DUMMYFUNCTION("""COMPUTED_VALUE"""),15.0)</f>
        <v>15</v>
      </c>
      <c r="G37" s="82">
        <f>IFERROR(__xludf.DUMMYFUNCTION("""COMPUTED_VALUE"""),0.0)</f>
        <v>0</v>
      </c>
      <c r="H37" s="82">
        <f>IFERROR(__xludf.DUMMYFUNCTION("""COMPUTED_VALUE"""),0.0)</f>
        <v>0</v>
      </c>
      <c r="I37" s="82">
        <f>IFERROR(__xludf.DUMMYFUNCTION("""COMPUTED_VALUE"""),0.0)</f>
        <v>0</v>
      </c>
      <c r="J37" s="82">
        <f>IFERROR(__xludf.DUMMYFUNCTION("""COMPUTED_VALUE"""),15.0)</f>
        <v>15</v>
      </c>
      <c r="K37" s="83">
        <f>IFERROR(__xludf.DUMMYFUNCTION("""COMPUTED_VALUE"""),15.0)</f>
        <v>15</v>
      </c>
      <c r="L37" s="83"/>
      <c r="M37" s="83"/>
      <c r="N37" s="83"/>
      <c r="O37" s="83"/>
      <c r="P37" s="84"/>
      <c r="Q37" s="4"/>
      <c r="R37" s="52"/>
      <c r="S37" s="52"/>
      <c r="T37" s="52"/>
      <c r="U37" s="52"/>
      <c r="V37" s="52"/>
      <c r="W37" s="52"/>
      <c r="X37" s="52"/>
      <c r="Y37" s="52"/>
      <c r="Z37" s="52"/>
    </row>
    <row r="38">
      <c r="A38" s="79">
        <f>IFERROR(__xludf.DUMMYFUNCTION("""COMPUTED_VALUE"""),36.0)</f>
        <v>36</v>
      </c>
      <c r="B38" s="80" t="str">
        <f>IFERROR(__xludf.DUMMYFUNCTION("""COMPUTED_VALUE"""),"Mosambi")</f>
        <v>Mosambi</v>
      </c>
      <c r="C38" s="79" t="str">
        <f>IFERROR(__xludf.DUMMYFUNCTION("""COMPUTED_VALUE"""),"Nucellar")</f>
        <v>Nucellar</v>
      </c>
      <c r="D38" s="81" t="str">
        <f>IFERROR(__xludf.DUMMYFUNCTION("""COMPUTED_VALUE"""),"Grafted")</f>
        <v>Grafted</v>
      </c>
      <c r="E38" s="81" t="str">
        <f>IFERROR(__xludf.DUMMYFUNCTION("""COMPUTED_VALUE"""),"Nuceller + KK")</f>
        <v>Nuceller + KK</v>
      </c>
      <c r="F38" s="82">
        <f>IFERROR(__xludf.DUMMYFUNCTION("""COMPUTED_VALUE"""),3.0)</f>
        <v>3</v>
      </c>
      <c r="G38" s="82">
        <f>IFERROR(__xludf.DUMMYFUNCTION("""COMPUTED_VALUE"""),0.0)</f>
        <v>0</v>
      </c>
      <c r="H38" s="82">
        <f>IFERROR(__xludf.DUMMYFUNCTION("""COMPUTED_VALUE"""),0.0)</f>
        <v>0</v>
      </c>
      <c r="I38" s="82">
        <f>IFERROR(__xludf.DUMMYFUNCTION("""COMPUTED_VALUE"""),0.0)</f>
        <v>0</v>
      </c>
      <c r="J38" s="82">
        <f>IFERROR(__xludf.DUMMYFUNCTION("""COMPUTED_VALUE"""),3.0)</f>
        <v>3</v>
      </c>
      <c r="K38" s="83">
        <f>IFERROR(__xludf.DUMMYFUNCTION("""COMPUTED_VALUE"""),3.0)</f>
        <v>3</v>
      </c>
      <c r="L38" s="83"/>
      <c r="M38" s="83"/>
      <c r="N38" s="83"/>
      <c r="O38" s="83"/>
      <c r="P38" s="84"/>
      <c r="Q38" s="4"/>
      <c r="R38" s="52"/>
      <c r="S38" s="52"/>
      <c r="T38" s="52"/>
      <c r="U38" s="52"/>
      <c r="V38" s="52"/>
      <c r="W38" s="52"/>
      <c r="X38" s="52"/>
      <c r="Y38" s="52"/>
      <c r="Z38" s="52"/>
    </row>
    <row r="39">
      <c r="A39" s="79">
        <f>IFERROR(__xludf.DUMMYFUNCTION("""COMPUTED_VALUE"""),37.0)</f>
        <v>37</v>
      </c>
      <c r="B39" s="80" t="str">
        <f>IFERROR(__xludf.DUMMYFUNCTION("""COMPUTED_VALUE"""),"Mulberry")</f>
        <v>Mulberry</v>
      </c>
      <c r="C39" s="79" t="str">
        <f>IFERROR(__xludf.DUMMYFUNCTION("""COMPUTED_VALUE"""),"Long Purple")</f>
        <v>Long Purple</v>
      </c>
      <c r="D39" s="81" t="str">
        <f>IFERROR(__xludf.DUMMYFUNCTION("""COMPUTED_VALUE"""),"Cutting")</f>
        <v>Cutting</v>
      </c>
      <c r="E39" s="81" t="str">
        <f>IFERROR(__xludf.DUMMYFUNCTION("""COMPUTED_VALUE"""),"-")</f>
        <v>-</v>
      </c>
      <c r="F39" s="82">
        <f>IFERROR(__xludf.DUMMYFUNCTION("""COMPUTED_VALUE"""),95.0)</f>
        <v>95</v>
      </c>
      <c r="G39" s="82">
        <f>IFERROR(__xludf.DUMMYFUNCTION("""COMPUTED_VALUE"""),0.0)</f>
        <v>0</v>
      </c>
      <c r="H39" s="82">
        <f>IFERROR(__xludf.DUMMYFUNCTION("""COMPUTED_VALUE"""),0.0)</f>
        <v>0</v>
      </c>
      <c r="I39" s="82">
        <f>IFERROR(__xludf.DUMMYFUNCTION("""COMPUTED_VALUE"""),0.0)</f>
        <v>0</v>
      </c>
      <c r="J39" s="82">
        <f>IFERROR(__xludf.DUMMYFUNCTION("""COMPUTED_VALUE"""),95.0)</f>
        <v>95</v>
      </c>
      <c r="K39" s="83">
        <f>IFERROR(__xludf.DUMMYFUNCTION("""COMPUTED_VALUE"""),80.0)</f>
        <v>80</v>
      </c>
      <c r="L39" s="83">
        <f>IFERROR(__xludf.DUMMYFUNCTION("""COMPUTED_VALUE"""),15.0)</f>
        <v>15</v>
      </c>
      <c r="M39" s="83"/>
      <c r="N39" s="83"/>
      <c r="O39" s="83"/>
      <c r="P39" s="84"/>
      <c r="Q39" s="4"/>
      <c r="R39" s="52"/>
      <c r="S39" s="52"/>
      <c r="T39" s="52"/>
      <c r="U39" s="52"/>
      <c r="V39" s="52"/>
      <c r="W39" s="52"/>
      <c r="X39" s="52"/>
      <c r="Y39" s="52"/>
      <c r="Z39" s="52"/>
    </row>
    <row r="40">
      <c r="A40" s="79">
        <f>IFERROR(__xludf.DUMMYFUNCTION("""COMPUTED_VALUE"""),38.0)</f>
        <v>38</v>
      </c>
      <c r="B40" s="80" t="str">
        <f>IFERROR(__xludf.DUMMYFUNCTION("""COMPUTED_VALUE"""),"Pumello")</f>
        <v>Pumello</v>
      </c>
      <c r="C40" s="79" t="str">
        <f>IFERROR(__xludf.DUMMYFUNCTION("""COMPUTED_VALUE"""),"VNR Amber")</f>
        <v>VNR Amber</v>
      </c>
      <c r="D40" s="81"/>
      <c r="E40" s="81"/>
      <c r="F40" s="82">
        <f>IFERROR(__xludf.DUMMYFUNCTION("""COMPUTED_VALUE"""),0.0)</f>
        <v>0</v>
      </c>
      <c r="G40" s="82">
        <f>IFERROR(__xludf.DUMMYFUNCTION("""COMPUTED_VALUE"""),0.0)</f>
        <v>0</v>
      </c>
      <c r="H40" s="82">
        <f>IFERROR(__xludf.DUMMYFUNCTION("""COMPUTED_VALUE"""),0.0)</f>
        <v>0</v>
      </c>
      <c r="I40" s="82">
        <f>IFERROR(__xludf.DUMMYFUNCTION("""COMPUTED_VALUE"""),0.0)</f>
        <v>0</v>
      </c>
      <c r="J40" s="82">
        <f>IFERROR(__xludf.DUMMYFUNCTION("""COMPUTED_VALUE"""),0.0)</f>
        <v>0</v>
      </c>
      <c r="K40" s="83">
        <f>IFERROR(__xludf.DUMMYFUNCTION("""COMPUTED_VALUE"""),0.0)</f>
        <v>0</v>
      </c>
      <c r="L40" s="83"/>
      <c r="M40" s="83"/>
      <c r="N40" s="83"/>
      <c r="O40" s="83"/>
      <c r="P40" s="84"/>
      <c r="Q40" s="4"/>
      <c r="R40" s="52"/>
      <c r="S40" s="52"/>
      <c r="T40" s="52"/>
      <c r="U40" s="52"/>
      <c r="V40" s="52"/>
      <c r="W40" s="52"/>
      <c r="X40" s="52"/>
      <c r="Y40" s="52"/>
      <c r="Z40" s="52"/>
    </row>
    <row r="41">
      <c r="A41" s="79">
        <f>IFERROR(__xludf.DUMMYFUNCTION("""COMPUTED_VALUE"""),39.0)</f>
        <v>39</v>
      </c>
      <c r="B41" s="80" t="str">
        <f>IFERROR(__xludf.DUMMYFUNCTION("""COMPUTED_VALUE"""),"Pumello")</f>
        <v>Pumello</v>
      </c>
      <c r="C41" s="79" t="str">
        <f>IFERROR(__xludf.DUMMYFUNCTION("""COMPUTED_VALUE"""),"VNR Crystal")</f>
        <v>VNR Crystal</v>
      </c>
      <c r="D41" s="81" t="str">
        <f>IFERROR(__xludf.DUMMYFUNCTION("""COMPUTED_VALUE"""),"Grafted")</f>
        <v>Grafted</v>
      </c>
      <c r="E41" s="81" t="str">
        <f>IFERROR(__xludf.DUMMYFUNCTION("""COMPUTED_VALUE"""),"VNR Crystal + NC")</f>
        <v>VNR Crystal + NC</v>
      </c>
      <c r="F41" s="87">
        <f>IFERROR(__xludf.DUMMYFUNCTION("""COMPUTED_VALUE"""),88.0)</f>
        <v>88</v>
      </c>
      <c r="G41" s="87">
        <f>IFERROR(__xludf.DUMMYFUNCTION("""COMPUTED_VALUE"""),0.0)</f>
        <v>0</v>
      </c>
      <c r="H41" s="87">
        <f>IFERROR(__xludf.DUMMYFUNCTION("""COMPUTED_VALUE"""),0.0)</f>
        <v>0</v>
      </c>
      <c r="I41" s="87">
        <f>IFERROR(__xludf.DUMMYFUNCTION("""COMPUTED_VALUE"""),0.0)</f>
        <v>0</v>
      </c>
      <c r="J41" s="87">
        <f>IFERROR(__xludf.DUMMYFUNCTION("""COMPUTED_VALUE"""),88.0)</f>
        <v>88</v>
      </c>
      <c r="K41" s="87">
        <f>IFERROR(__xludf.DUMMYFUNCTION("""COMPUTED_VALUE"""),50.0)</f>
        <v>50</v>
      </c>
      <c r="L41" s="87">
        <f>IFERROR(__xludf.DUMMYFUNCTION("""COMPUTED_VALUE"""),38.0)</f>
        <v>38</v>
      </c>
      <c r="M41" s="87"/>
      <c r="N41" s="87"/>
      <c r="O41" s="87"/>
      <c r="P41" s="67"/>
      <c r="Q41" s="4"/>
      <c r="R41" s="52"/>
      <c r="S41" s="52"/>
      <c r="T41" s="52"/>
      <c r="U41" s="52"/>
      <c r="V41" s="52"/>
      <c r="W41" s="52"/>
      <c r="X41" s="52"/>
      <c r="Y41" s="52"/>
      <c r="Z41" s="52"/>
    </row>
    <row r="42">
      <c r="A42" s="79">
        <f>IFERROR(__xludf.DUMMYFUNCTION("""COMPUTED_VALUE"""),40.0)</f>
        <v>40</v>
      </c>
      <c r="B42" s="80" t="str">
        <f>IFERROR(__xludf.DUMMYFUNCTION("""COMPUTED_VALUE"""),"Sitaphal")</f>
        <v>Sitaphal</v>
      </c>
      <c r="C42" s="79" t="str">
        <f>IFERROR(__xludf.DUMMYFUNCTION("""COMPUTED_VALUE"""),"VNR Madhur")</f>
        <v>VNR Madhur</v>
      </c>
      <c r="D42" s="81" t="str">
        <f>IFERROR(__xludf.DUMMYFUNCTION("""COMPUTED_VALUE"""),"Grafted")</f>
        <v>Grafted</v>
      </c>
      <c r="E42" s="81" t="str">
        <f>IFERROR(__xludf.DUMMYFUNCTION("""COMPUTED_VALUE"""),"VNR Madhur + BN")</f>
        <v>VNR Madhur + BN</v>
      </c>
      <c r="F42" s="87">
        <f>IFERROR(__xludf.DUMMYFUNCTION("""COMPUTED_VALUE"""),2816.0)</f>
        <v>2816</v>
      </c>
      <c r="G42" s="87">
        <f>IFERROR(__xludf.DUMMYFUNCTION("""COMPUTED_VALUE"""),0.0)</f>
        <v>0</v>
      </c>
      <c r="H42" s="87">
        <f>IFERROR(__xludf.DUMMYFUNCTION("""COMPUTED_VALUE"""),0.0)</f>
        <v>0</v>
      </c>
      <c r="I42" s="87">
        <f>IFERROR(__xludf.DUMMYFUNCTION("""COMPUTED_VALUE"""),0.0)</f>
        <v>0</v>
      </c>
      <c r="J42" s="87">
        <f>IFERROR(__xludf.DUMMYFUNCTION("""COMPUTED_VALUE"""),2816.0)</f>
        <v>2816</v>
      </c>
      <c r="K42" s="87">
        <f>IFERROR(__xludf.DUMMYFUNCTION("""COMPUTED_VALUE"""),0.0)</f>
        <v>0</v>
      </c>
      <c r="L42" s="87"/>
      <c r="M42" s="87"/>
      <c r="N42" s="87"/>
      <c r="O42" s="87"/>
      <c r="P42" s="67"/>
      <c r="Q42" s="4">
        <f>IFERROR(__xludf.DUMMYFUNCTION("""COMPUTED_VALUE"""),2816.0)</f>
        <v>2816</v>
      </c>
      <c r="R42" s="52"/>
      <c r="S42" s="52"/>
      <c r="T42" s="52"/>
      <c r="U42" s="52"/>
      <c r="V42" s="52"/>
      <c r="W42" s="52"/>
      <c r="X42" s="52"/>
      <c r="Y42" s="52"/>
      <c r="Z42" s="52"/>
    </row>
    <row r="43">
      <c r="A43" s="79">
        <f>IFERROR(__xludf.DUMMYFUNCTION("""COMPUTED_VALUE"""),41.0)</f>
        <v>41</v>
      </c>
      <c r="B43" s="80" t="str">
        <f>IFERROR(__xludf.DUMMYFUNCTION("""COMPUTED_VALUE"""),"Laxmanfal ")</f>
        <v>Laxmanfal </v>
      </c>
      <c r="C43" s="79" t="str">
        <f>IFERROR(__xludf.DUMMYFUNCTION("""COMPUTED_VALUE"""),"VNR Uttam")</f>
        <v>VNR Uttam</v>
      </c>
      <c r="D43" s="81" t="str">
        <f>IFERROR(__xludf.DUMMYFUNCTION("""COMPUTED_VALUE"""),"Grafted")</f>
        <v>Grafted</v>
      </c>
      <c r="E43" s="81" t="str">
        <f>IFERROR(__xludf.DUMMYFUNCTION("""COMPUTED_VALUE"""),"VNR Uttam + BN")</f>
        <v>VNR Uttam + BN</v>
      </c>
      <c r="F43" s="88" t="str">
        <f>IFERROR(__xludf.DUMMYFUNCTION("""COMPUTED_VALUE"""),"60")</f>
        <v>60</v>
      </c>
      <c r="G43" s="88">
        <f>IFERROR(__xludf.DUMMYFUNCTION("""COMPUTED_VALUE"""),0.0)</f>
        <v>0</v>
      </c>
      <c r="H43" s="88">
        <f>IFERROR(__xludf.DUMMYFUNCTION("""COMPUTED_VALUE"""),0.0)</f>
        <v>0</v>
      </c>
      <c r="I43" s="88">
        <f>IFERROR(__xludf.DUMMYFUNCTION("""COMPUTED_VALUE"""),0.0)</f>
        <v>0</v>
      </c>
      <c r="J43" s="88">
        <f>IFERROR(__xludf.DUMMYFUNCTION("""COMPUTED_VALUE"""),60.0)</f>
        <v>60</v>
      </c>
      <c r="K43" s="88">
        <f>IFERROR(__xludf.DUMMYFUNCTION("""COMPUTED_VALUE"""),60.0)</f>
        <v>60</v>
      </c>
      <c r="L43" s="87"/>
      <c r="M43" s="87"/>
      <c r="N43" s="87"/>
      <c r="O43" s="87"/>
      <c r="P43" s="67"/>
      <c r="Q43" s="4"/>
      <c r="R43" s="52"/>
      <c r="S43" s="52"/>
      <c r="T43" s="52"/>
      <c r="U43" s="52"/>
      <c r="V43" s="52"/>
      <c r="W43" s="52"/>
      <c r="X43" s="52"/>
      <c r="Y43" s="52"/>
      <c r="Z43" s="52"/>
    </row>
    <row r="44">
      <c r="A44" s="79">
        <f>IFERROR(__xludf.DUMMYFUNCTION("""COMPUTED_VALUE"""),42.0)</f>
        <v>42</v>
      </c>
      <c r="B44" s="80" t="str">
        <f>IFERROR(__xludf.DUMMYFUNCTION("""COMPUTED_VALUE"""),"Wax Apple")</f>
        <v>Wax Apple</v>
      </c>
      <c r="C44" s="79" t="str">
        <f>IFERROR(__xludf.DUMMYFUNCTION("""COMPUTED_VALUE"""),"VNR Maroon")</f>
        <v>VNR Maroon</v>
      </c>
      <c r="D44" s="81" t="str">
        <f>IFERROR(__xludf.DUMMYFUNCTION("""COMPUTED_VALUE"""),"Airlayering")</f>
        <v>Airlayering</v>
      </c>
      <c r="E44" s="81"/>
      <c r="F44" s="87">
        <f>IFERROR(__xludf.DUMMYFUNCTION("""COMPUTED_VALUE"""),2.0)</f>
        <v>2</v>
      </c>
      <c r="G44" s="87">
        <f>IFERROR(__xludf.DUMMYFUNCTION("""COMPUTED_VALUE"""),0.0)</f>
        <v>0</v>
      </c>
      <c r="H44" s="87">
        <f>IFERROR(__xludf.DUMMYFUNCTION("""COMPUTED_VALUE"""),0.0)</f>
        <v>0</v>
      </c>
      <c r="I44" s="87">
        <f>IFERROR(__xludf.DUMMYFUNCTION("""COMPUTED_VALUE"""),0.0)</f>
        <v>0</v>
      </c>
      <c r="J44" s="87">
        <f>IFERROR(__xludf.DUMMYFUNCTION("""COMPUTED_VALUE"""),2.0)</f>
        <v>2</v>
      </c>
      <c r="K44" s="87">
        <f>IFERROR(__xludf.DUMMYFUNCTION("""COMPUTED_VALUE"""),2.0)</f>
        <v>2</v>
      </c>
      <c r="L44" s="87"/>
      <c r="M44" s="87"/>
      <c r="N44" s="87"/>
      <c r="O44" s="87"/>
      <c r="P44" s="67"/>
      <c r="Q44" s="4"/>
      <c r="R44" s="52"/>
      <c r="S44" s="52"/>
      <c r="T44" s="52"/>
      <c r="U44" s="52"/>
      <c r="V44" s="52"/>
      <c r="W44" s="52"/>
      <c r="X44" s="52"/>
      <c r="Y44" s="52"/>
      <c r="Z44" s="52"/>
    </row>
    <row r="45">
      <c r="A45" s="11"/>
      <c r="B45" s="89"/>
      <c r="C45" s="1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69"/>
      <c r="Q45" s="4"/>
      <c r="R45" s="52"/>
      <c r="S45" s="52"/>
      <c r="T45" s="52"/>
      <c r="U45" s="52"/>
      <c r="V45" s="52"/>
      <c r="W45" s="52"/>
      <c r="X45" s="52"/>
      <c r="Y45" s="52"/>
      <c r="Z45" s="52"/>
    </row>
    <row r="46">
      <c r="A46" s="11"/>
      <c r="B46" s="89"/>
      <c r="C46" s="1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69"/>
      <c r="Q46" s="4"/>
      <c r="R46" s="52"/>
      <c r="S46" s="52"/>
      <c r="T46" s="52"/>
      <c r="U46" s="52"/>
      <c r="V46" s="52"/>
      <c r="W46" s="52"/>
      <c r="X46" s="52"/>
      <c r="Y46" s="52"/>
      <c r="Z46" s="52"/>
    </row>
    <row r="47">
      <c r="A47" s="11"/>
      <c r="B47" s="89"/>
      <c r="C47" s="1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69"/>
      <c r="Q47" s="4"/>
      <c r="R47" s="52"/>
      <c r="S47" s="52"/>
      <c r="T47" s="52"/>
      <c r="U47" s="52"/>
      <c r="V47" s="52"/>
      <c r="W47" s="52"/>
      <c r="X47" s="52"/>
      <c r="Y47" s="52"/>
      <c r="Z47" s="52"/>
    </row>
    <row r="48">
      <c r="A48" s="11"/>
      <c r="B48" s="89"/>
      <c r="C48" s="1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69"/>
      <c r="Q48" s="4"/>
      <c r="R48" s="52"/>
      <c r="S48" s="52"/>
      <c r="T48" s="52"/>
      <c r="U48" s="52"/>
      <c r="V48" s="52"/>
      <c r="W48" s="52"/>
      <c r="X48" s="52"/>
      <c r="Y48" s="52"/>
      <c r="Z48" s="52"/>
    </row>
    <row r="49">
      <c r="A49" s="11"/>
      <c r="B49" s="89"/>
      <c r="C49" s="1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69"/>
      <c r="Q49" s="4"/>
      <c r="R49" s="52"/>
      <c r="S49" s="52"/>
      <c r="T49" s="52"/>
      <c r="U49" s="52"/>
      <c r="V49" s="52"/>
      <c r="W49" s="52"/>
      <c r="X49" s="52"/>
      <c r="Y49" s="52"/>
      <c r="Z49" s="52"/>
    </row>
    <row r="50">
      <c r="A50" s="11"/>
      <c r="B50" s="89"/>
      <c r="C50" s="1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69"/>
      <c r="Q50" s="4"/>
      <c r="R50" s="52"/>
      <c r="S50" s="52"/>
      <c r="T50" s="52"/>
      <c r="U50" s="52"/>
      <c r="V50" s="52"/>
      <c r="W50" s="52"/>
      <c r="X50" s="52"/>
      <c r="Y50" s="52"/>
      <c r="Z50" s="52"/>
    </row>
    <row r="51">
      <c r="A51" s="11"/>
      <c r="B51" s="89"/>
      <c r="C51" s="1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69"/>
      <c r="Q51" s="4"/>
      <c r="R51" s="52"/>
      <c r="S51" s="52"/>
      <c r="T51" s="52"/>
      <c r="U51" s="52"/>
      <c r="V51" s="52"/>
      <c r="W51" s="52"/>
      <c r="X51" s="52"/>
      <c r="Y51" s="52"/>
      <c r="Z51" s="52"/>
    </row>
    <row r="52">
      <c r="A52" s="11"/>
      <c r="B52" s="89"/>
      <c r="C52" s="1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69"/>
      <c r="Q52" s="4"/>
      <c r="R52" s="52"/>
      <c r="S52" s="52"/>
      <c r="T52" s="52"/>
      <c r="U52" s="52"/>
      <c r="V52" s="52"/>
      <c r="W52" s="52"/>
      <c r="X52" s="52"/>
      <c r="Y52" s="52"/>
      <c r="Z52" s="52"/>
    </row>
    <row r="53">
      <c r="A53" s="11"/>
      <c r="B53" s="89"/>
      <c r="C53" s="1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69"/>
      <c r="Q53" s="4"/>
      <c r="R53" s="52"/>
      <c r="S53" s="52"/>
      <c r="T53" s="52"/>
      <c r="U53" s="52"/>
      <c r="V53" s="52"/>
      <c r="W53" s="52"/>
      <c r="X53" s="52"/>
      <c r="Y53" s="52"/>
      <c r="Z53" s="52"/>
    </row>
    <row r="54">
      <c r="A54" s="11"/>
      <c r="B54" s="89"/>
      <c r="C54" s="1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69"/>
      <c r="Q54" s="4"/>
      <c r="R54" s="52"/>
      <c r="S54" s="52"/>
      <c r="T54" s="52"/>
      <c r="U54" s="52"/>
      <c r="V54" s="52"/>
      <c r="W54" s="52"/>
      <c r="X54" s="52"/>
      <c r="Y54" s="52"/>
      <c r="Z54" s="52"/>
    </row>
    <row r="55">
      <c r="A55" s="11"/>
      <c r="B55" s="89"/>
      <c r="C55" s="1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69"/>
      <c r="Q55" s="4"/>
      <c r="R55" s="52"/>
      <c r="S55" s="52"/>
      <c r="T55" s="52"/>
      <c r="U55" s="52"/>
      <c r="V55" s="52"/>
      <c r="W55" s="52"/>
      <c r="X55" s="52"/>
      <c r="Y55" s="52"/>
      <c r="Z55" s="52"/>
    </row>
    <row r="56">
      <c r="A56" s="11"/>
      <c r="B56" s="89"/>
      <c r="C56" s="1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69"/>
      <c r="Q56" s="4"/>
      <c r="R56" s="52"/>
      <c r="S56" s="52"/>
      <c r="T56" s="52"/>
      <c r="U56" s="52"/>
      <c r="V56" s="52"/>
      <c r="W56" s="52"/>
      <c r="X56" s="52"/>
      <c r="Y56" s="52"/>
      <c r="Z56" s="52"/>
    </row>
    <row r="57">
      <c r="A57" s="11"/>
      <c r="B57" s="89"/>
      <c r="C57" s="1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69"/>
      <c r="Q57" s="4"/>
      <c r="R57" s="52"/>
      <c r="S57" s="52"/>
      <c r="T57" s="52"/>
      <c r="U57" s="52"/>
      <c r="V57" s="52"/>
      <c r="W57" s="52"/>
      <c r="X57" s="52"/>
      <c r="Y57" s="52"/>
      <c r="Z57" s="52"/>
    </row>
    <row r="58">
      <c r="A58" s="11"/>
      <c r="B58" s="89"/>
      <c r="C58" s="1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69"/>
      <c r="Q58" s="4"/>
      <c r="R58" s="52"/>
      <c r="S58" s="52"/>
      <c r="T58" s="52"/>
      <c r="U58" s="52"/>
      <c r="V58" s="52"/>
      <c r="W58" s="52"/>
      <c r="X58" s="52"/>
      <c r="Y58" s="52"/>
      <c r="Z58" s="52"/>
    </row>
    <row r="59">
      <c r="A59" s="11"/>
      <c r="B59" s="89"/>
      <c r="C59" s="11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69"/>
      <c r="Q59" s="4"/>
      <c r="R59" s="52"/>
      <c r="S59" s="52"/>
      <c r="T59" s="52"/>
      <c r="U59" s="52"/>
      <c r="V59" s="52"/>
      <c r="W59" s="52"/>
      <c r="X59" s="52"/>
      <c r="Y59" s="52"/>
      <c r="Z59" s="52"/>
    </row>
    <row r="60">
      <c r="A60" s="11"/>
      <c r="B60" s="89"/>
      <c r="C60" s="11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69"/>
      <c r="Q60" s="4"/>
      <c r="R60" s="52"/>
      <c r="S60" s="52"/>
      <c r="T60" s="52"/>
      <c r="U60" s="52"/>
      <c r="V60" s="52"/>
      <c r="W60" s="52"/>
      <c r="X60" s="52"/>
      <c r="Y60" s="52"/>
      <c r="Z60" s="52"/>
    </row>
    <row r="61">
      <c r="A61" s="11"/>
      <c r="B61" s="89"/>
      <c r="C61" s="11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69"/>
      <c r="Q61" s="4"/>
      <c r="R61" s="52"/>
      <c r="S61" s="52"/>
      <c r="T61" s="52"/>
      <c r="U61" s="52"/>
      <c r="V61" s="52"/>
      <c r="W61" s="52"/>
      <c r="X61" s="52"/>
      <c r="Y61" s="52"/>
      <c r="Z61" s="52"/>
    </row>
    <row r="62">
      <c r="A62" s="11"/>
      <c r="B62" s="89"/>
      <c r="C62" s="11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69"/>
      <c r="Q62" s="4"/>
      <c r="R62" s="52"/>
      <c r="S62" s="52"/>
      <c r="T62" s="52"/>
      <c r="U62" s="52"/>
      <c r="V62" s="52"/>
      <c r="W62" s="52"/>
      <c r="X62" s="52"/>
      <c r="Y62" s="52"/>
      <c r="Z62" s="52"/>
    </row>
    <row r="63">
      <c r="A63" s="11"/>
      <c r="B63" s="89"/>
      <c r="C63" s="11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69"/>
      <c r="Q63" s="4"/>
      <c r="R63" s="52"/>
      <c r="S63" s="52"/>
      <c r="T63" s="52"/>
      <c r="U63" s="52"/>
      <c r="V63" s="52"/>
      <c r="W63" s="52"/>
      <c r="X63" s="52"/>
      <c r="Y63" s="52"/>
      <c r="Z63" s="52"/>
    </row>
    <row r="64">
      <c r="A64" s="11"/>
      <c r="B64" s="89"/>
      <c r="C64" s="11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69"/>
      <c r="Q64" s="4"/>
      <c r="R64" s="52"/>
      <c r="S64" s="52"/>
      <c r="T64" s="52"/>
      <c r="U64" s="52"/>
      <c r="V64" s="52"/>
      <c r="W64" s="52"/>
      <c r="X64" s="52"/>
      <c r="Y64" s="52"/>
      <c r="Z64" s="52"/>
    </row>
    <row r="65">
      <c r="A65" s="11"/>
      <c r="B65" s="89"/>
      <c r="C65" s="11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69"/>
      <c r="Q65" s="4"/>
      <c r="R65" s="52"/>
      <c r="S65" s="52"/>
      <c r="T65" s="52"/>
      <c r="U65" s="52"/>
      <c r="V65" s="52"/>
      <c r="W65" s="52"/>
      <c r="X65" s="52"/>
      <c r="Y65" s="52"/>
      <c r="Z65" s="52"/>
    </row>
    <row r="66">
      <c r="A66" s="11"/>
      <c r="B66" s="89"/>
      <c r="C66" s="11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69"/>
      <c r="Q66" s="4"/>
      <c r="R66" s="52"/>
      <c r="S66" s="52"/>
      <c r="T66" s="52"/>
      <c r="U66" s="52"/>
      <c r="V66" s="52"/>
      <c r="W66" s="52"/>
      <c r="X66" s="52"/>
      <c r="Y66" s="52"/>
      <c r="Z66" s="52"/>
    </row>
    <row r="67">
      <c r="A67" s="11"/>
      <c r="B67" s="89"/>
      <c r="C67" s="11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69"/>
      <c r="Q67" s="4"/>
      <c r="R67" s="52"/>
      <c r="S67" s="52"/>
      <c r="T67" s="52"/>
      <c r="U67" s="52"/>
      <c r="V67" s="52"/>
      <c r="W67" s="52"/>
      <c r="X67" s="52"/>
      <c r="Y67" s="52"/>
      <c r="Z67" s="52"/>
    </row>
    <row r="68">
      <c r="A68" s="11"/>
      <c r="B68" s="89"/>
      <c r="C68" s="1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69"/>
      <c r="Q68" s="4"/>
      <c r="R68" s="52"/>
      <c r="S68" s="52"/>
      <c r="T68" s="52"/>
      <c r="U68" s="52"/>
      <c r="V68" s="52"/>
      <c r="W68" s="52"/>
      <c r="X68" s="52"/>
      <c r="Y68" s="52"/>
      <c r="Z68" s="52"/>
    </row>
    <row r="69">
      <c r="A69" s="11"/>
      <c r="B69" s="89"/>
      <c r="C69" s="11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69"/>
      <c r="Q69" s="4"/>
      <c r="R69" s="52"/>
      <c r="S69" s="52"/>
      <c r="T69" s="52"/>
      <c r="U69" s="52"/>
      <c r="V69" s="52"/>
      <c r="W69" s="52"/>
      <c r="X69" s="52"/>
      <c r="Y69" s="52"/>
      <c r="Z69" s="52"/>
    </row>
    <row r="70">
      <c r="A70" s="11"/>
      <c r="B70" s="89"/>
      <c r="C70" s="11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69"/>
      <c r="Q70" s="4"/>
      <c r="R70" s="52"/>
      <c r="S70" s="52"/>
      <c r="T70" s="52"/>
      <c r="U70" s="52"/>
      <c r="V70" s="52"/>
      <c r="W70" s="52"/>
      <c r="X70" s="52"/>
      <c r="Y70" s="52"/>
      <c r="Z70" s="52"/>
    </row>
    <row r="71">
      <c r="A71" s="11"/>
      <c r="B71" s="89"/>
      <c r="C71" s="11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69"/>
      <c r="Q71" s="4"/>
      <c r="R71" s="52"/>
      <c r="S71" s="52"/>
      <c r="T71" s="52"/>
      <c r="U71" s="52"/>
      <c r="V71" s="52"/>
      <c r="W71" s="52"/>
      <c r="X71" s="52"/>
      <c r="Y71" s="52"/>
      <c r="Z71" s="52"/>
    </row>
    <row r="72">
      <c r="A72" s="11"/>
      <c r="B72" s="89"/>
      <c r="C72" s="11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69"/>
      <c r="Q72" s="4"/>
      <c r="R72" s="52"/>
      <c r="S72" s="52"/>
      <c r="T72" s="52"/>
      <c r="U72" s="52"/>
      <c r="V72" s="52"/>
      <c r="W72" s="52"/>
      <c r="X72" s="52"/>
      <c r="Y72" s="52"/>
      <c r="Z72" s="52"/>
    </row>
    <row r="73">
      <c r="A73" s="11"/>
      <c r="B73" s="89"/>
      <c r="C73" s="1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69"/>
      <c r="Q73" s="4"/>
      <c r="R73" s="52"/>
      <c r="S73" s="52"/>
      <c r="T73" s="52"/>
      <c r="U73" s="52"/>
      <c r="V73" s="52"/>
      <c r="W73" s="52"/>
      <c r="X73" s="52"/>
      <c r="Y73" s="52"/>
      <c r="Z73" s="52"/>
    </row>
    <row r="74">
      <c r="A74" s="11"/>
      <c r="B74" s="89"/>
      <c r="C74" s="11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69"/>
      <c r="Q74" s="4"/>
      <c r="R74" s="52"/>
      <c r="S74" s="52"/>
      <c r="T74" s="52"/>
      <c r="U74" s="52"/>
      <c r="V74" s="52"/>
      <c r="W74" s="52"/>
      <c r="X74" s="52"/>
      <c r="Y74" s="52"/>
      <c r="Z74" s="52"/>
    </row>
    <row r="75">
      <c r="A75" s="11"/>
      <c r="B75" s="89"/>
      <c r="C75" s="11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69"/>
      <c r="Q75" s="4"/>
      <c r="R75" s="52"/>
      <c r="S75" s="52"/>
      <c r="T75" s="52"/>
      <c r="U75" s="52"/>
      <c r="V75" s="52"/>
      <c r="W75" s="52"/>
      <c r="X75" s="52"/>
      <c r="Y75" s="52"/>
      <c r="Z75" s="52"/>
    </row>
    <row r="76">
      <c r="A76" s="11"/>
      <c r="B76" s="89"/>
      <c r="C76" s="11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69"/>
      <c r="Q76" s="4"/>
      <c r="R76" s="52"/>
      <c r="S76" s="52"/>
      <c r="T76" s="52"/>
      <c r="U76" s="52"/>
      <c r="V76" s="52"/>
      <c r="W76" s="52"/>
      <c r="X76" s="52"/>
      <c r="Y76" s="52"/>
      <c r="Z76" s="52"/>
    </row>
    <row r="77">
      <c r="A77" s="11"/>
      <c r="B77" s="89"/>
      <c r="C77" s="11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69"/>
      <c r="Q77" s="4"/>
      <c r="R77" s="52"/>
      <c r="S77" s="52"/>
      <c r="T77" s="52"/>
      <c r="U77" s="52"/>
      <c r="V77" s="52"/>
      <c r="W77" s="52"/>
      <c r="X77" s="52"/>
      <c r="Y77" s="52"/>
      <c r="Z77" s="52"/>
    </row>
    <row r="78">
      <c r="A78" s="11"/>
      <c r="B78" s="89"/>
      <c r="C78" s="11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69"/>
      <c r="Q78" s="4"/>
      <c r="R78" s="52"/>
      <c r="S78" s="52"/>
      <c r="T78" s="52"/>
      <c r="U78" s="52"/>
      <c r="V78" s="52"/>
      <c r="W78" s="52"/>
      <c r="X78" s="52"/>
      <c r="Y78" s="52"/>
      <c r="Z78" s="52"/>
    </row>
    <row r="79">
      <c r="A79" s="11"/>
      <c r="B79" s="89"/>
      <c r="C79" s="11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69"/>
      <c r="Q79" s="4"/>
      <c r="R79" s="52"/>
      <c r="S79" s="52"/>
      <c r="T79" s="52"/>
      <c r="U79" s="52"/>
      <c r="V79" s="52"/>
      <c r="W79" s="52"/>
      <c r="X79" s="52"/>
      <c r="Y79" s="52"/>
      <c r="Z79" s="52"/>
    </row>
    <row r="80">
      <c r="A80" s="11"/>
      <c r="B80" s="89"/>
      <c r="C80" s="11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69"/>
      <c r="Q80" s="4"/>
      <c r="R80" s="52"/>
      <c r="S80" s="52"/>
      <c r="T80" s="52"/>
      <c r="U80" s="52"/>
      <c r="V80" s="52"/>
      <c r="W80" s="52"/>
      <c r="X80" s="52"/>
      <c r="Y80" s="52"/>
      <c r="Z80" s="52"/>
    </row>
    <row r="81">
      <c r="A81" s="11"/>
      <c r="B81" s="89"/>
      <c r="C81" s="1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69"/>
      <c r="Q81" s="4"/>
      <c r="R81" s="52"/>
      <c r="S81" s="52"/>
      <c r="T81" s="52"/>
      <c r="U81" s="52"/>
      <c r="V81" s="52"/>
      <c r="W81" s="52"/>
      <c r="X81" s="52"/>
      <c r="Y81" s="52"/>
      <c r="Z81" s="52"/>
    </row>
    <row r="82">
      <c r="A82" s="11"/>
      <c r="B82" s="89"/>
      <c r="C82" s="11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69"/>
      <c r="Q82" s="4"/>
      <c r="R82" s="52"/>
      <c r="S82" s="52"/>
      <c r="T82" s="52"/>
      <c r="U82" s="52"/>
      <c r="V82" s="52"/>
      <c r="W82" s="52"/>
      <c r="X82" s="52"/>
      <c r="Y82" s="52"/>
      <c r="Z82" s="52"/>
    </row>
    <row r="83">
      <c r="A83" s="11"/>
      <c r="B83" s="89"/>
      <c r="C83" s="11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69"/>
      <c r="Q83" s="4"/>
      <c r="R83" s="52"/>
      <c r="S83" s="52"/>
      <c r="T83" s="52"/>
      <c r="U83" s="52"/>
      <c r="V83" s="52"/>
      <c r="W83" s="52"/>
      <c r="X83" s="52"/>
      <c r="Y83" s="52"/>
      <c r="Z83" s="52"/>
    </row>
    <row r="84">
      <c r="A84" s="11"/>
      <c r="B84" s="89"/>
      <c r="C84" s="11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69"/>
      <c r="Q84" s="4"/>
      <c r="R84" s="52"/>
      <c r="S84" s="52"/>
      <c r="T84" s="52"/>
      <c r="U84" s="52"/>
      <c r="V84" s="52"/>
      <c r="W84" s="52"/>
      <c r="X84" s="52"/>
      <c r="Y84" s="52"/>
      <c r="Z84" s="52"/>
    </row>
    <row r="85">
      <c r="A85" s="11"/>
      <c r="B85" s="89"/>
      <c r="C85" s="11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69"/>
      <c r="Q85" s="4"/>
      <c r="R85" s="52"/>
      <c r="S85" s="52"/>
      <c r="T85" s="52"/>
      <c r="U85" s="52"/>
      <c r="V85" s="52"/>
      <c r="W85" s="52"/>
      <c r="X85" s="52"/>
      <c r="Y85" s="52"/>
      <c r="Z85" s="52"/>
    </row>
    <row r="86">
      <c r="A86" s="11"/>
      <c r="B86" s="89"/>
      <c r="C86" s="11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69"/>
      <c r="Q86" s="4"/>
      <c r="R86" s="52"/>
      <c r="S86" s="52"/>
      <c r="T86" s="52"/>
      <c r="U86" s="52"/>
      <c r="V86" s="52"/>
      <c r="W86" s="52"/>
      <c r="X86" s="52"/>
      <c r="Y86" s="52"/>
      <c r="Z86" s="52"/>
    </row>
    <row r="87">
      <c r="A87" s="11"/>
      <c r="B87" s="89"/>
      <c r="C87" s="11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69"/>
      <c r="Q87" s="4"/>
      <c r="R87" s="52"/>
      <c r="S87" s="52"/>
      <c r="T87" s="52"/>
      <c r="U87" s="52"/>
      <c r="V87" s="52"/>
      <c r="W87" s="52"/>
      <c r="X87" s="52"/>
      <c r="Y87" s="52"/>
      <c r="Z87" s="52"/>
    </row>
    <row r="88">
      <c r="A88" s="11"/>
      <c r="B88" s="89"/>
      <c r="C88" s="11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69"/>
      <c r="Q88" s="4"/>
      <c r="R88" s="52"/>
      <c r="S88" s="52"/>
      <c r="T88" s="52"/>
      <c r="U88" s="52"/>
      <c r="V88" s="52"/>
      <c r="W88" s="52"/>
      <c r="X88" s="52"/>
      <c r="Y88" s="52"/>
      <c r="Z88" s="52"/>
    </row>
    <row r="89">
      <c r="A89" s="11"/>
      <c r="B89" s="89"/>
      <c r="C89" s="11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69"/>
      <c r="Q89" s="4"/>
      <c r="R89" s="52"/>
      <c r="S89" s="52"/>
      <c r="T89" s="52"/>
      <c r="U89" s="52"/>
      <c r="V89" s="52"/>
      <c r="W89" s="52"/>
      <c r="X89" s="52"/>
      <c r="Y89" s="52"/>
      <c r="Z89" s="52"/>
    </row>
    <row r="90">
      <c r="A90" s="11"/>
      <c r="B90" s="89"/>
      <c r="C90" s="1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69"/>
      <c r="Q90" s="4"/>
      <c r="R90" s="52"/>
      <c r="S90" s="52"/>
      <c r="T90" s="52"/>
      <c r="U90" s="52"/>
      <c r="V90" s="52"/>
      <c r="W90" s="52"/>
      <c r="X90" s="52"/>
      <c r="Y90" s="52"/>
      <c r="Z90" s="52"/>
    </row>
    <row r="91">
      <c r="A91" s="11"/>
      <c r="B91" s="89"/>
      <c r="C91" s="11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69"/>
      <c r="Q91" s="4"/>
      <c r="R91" s="52"/>
      <c r="S91" s="52"/>
      <c r="T91" s="52"/>
      <c r="U91" s="52"/>
      <c r="V91" s="52"/>
      <c r="W91" s="52"/>
      <c r="X91" s="52"/>
      <c r="Y91" s="52"/>
      <c r="Z91" s="52"/>
    </row>
    <row r="92">
      <c r="A92" s="11"/>
      <c r="B92" s="89"/>
      <c r="C92" s="11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69"/>
      <c r="Q92" s="4"/>
      <c r="R92" s="52"/>
      <c r="S92" s="52"/>
      <c r="T92" s="52"/>
      <c r="U92" s="52"/>
      <c r="V92" s="52"/>
      <c r="W92" s="52"/>
      <c r="X92" s="52"/>
      <c r="Y92" s="52"/>
      <c r="Z92" s="52"/>
    </row>
    <row r="93">
      <c r="A93" s="11"/>
      <c r="B93" s="89"/>
      <c r="C93" s="11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69"/>
      <c r="Q93" s="4"/>
      <c r="R93" s="52"/>
      <c r="S93" s="52"/>
      <c r="T93" s="52"/>
      <c r="U93" s="52"/>
      <c r="V93" s="52"/>
      <c r="W93" s="52"/>
      <c r="X93" s="52"/>
      <c r="Y93" s="52"/>
      <c r="Z93" s="52"/>
    </row>
    <row r="94">
      <c r="A94" s="11"/>
      <c r="B94" s="89"/>
      <c r="C94" s="11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69"/>
      <c r="Q94" s="4"/>
      <c r="R94" s="52"/>
      <c r="S94" s="52"/>
      <c r="T94" s="52"/>
      <c r="U94" s="52"/>
      <c r="V94" s="52"/>
      <c r="W94" s="52"/>
      <c r="X94" s="52"/>
      <c r="Y94" s="52"/>
      <c r="Z94" s="52"/>
    </row>
    <row r="95">
      <c r="A95" s="11"/>
      <c r="B95" s="89"/>
      <c r="C95" s="11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69"/>
      <c r="Q95" s="4"/>
      <c r="R95" s="52"/>
      <c r="S95" s="52"/>
      <c r="T95" s="52"/>
      <c r="U95" s="52"/>
      <c r="V95" s="52"/>
      <c r="W95" s="52"/>
      <c r="X95" s="52"/>
      <c r="Y95" s="52"/>
      <c r="Z95" s="52"/>
    </row>
    <row r="96">
      <c r="A96" s="11"/>
      <c r="B96" s="89"/>
      <c r="C96" s="1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69"/>
      <c r="Q96" s="4"/>
      <c r="R96" s="52"/>
      <c r="S96" s="52"/>
      <c r="T96" s="52"/>
      <c r="U96" s="52"/>
      <c r="V96" s="52"/>
      <c r="W96" s="52"/>
      <c r="X96" s="52"/>
      <c r="Y96" s="52"/>
      <c r="Z96" s="52"/>
    </row>
    <row r="97">
      <c r="A97" s="11"/>
      <c r="B97" s="89"/>
      <c r="C97" s="11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69"/>
      <c r="Q97" s="4"/>
      <c r="R97" s="52"/>
      <c r="S97" s="52"/>
      <c r="T97" s="52"/>
      <c r="U97" s="52"/>
      <c r="V97" s="52"/>
      <c r="W97" s="52"/>
      <c r="X97" s="52"/>
      <c r="Y97" s="52"/>
      <c r="Z97" s="52"/>
    </row>
    <row r="98">
      <c r="A98" s="11"/>
      <c r="B98" s="89"/>
      <c r="C98" s="11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69"/>
      <c r="Q98" s="4"/>
      <c r="R98" s="52"/>
      <c r="S98" s="52"/>
      <c r="T98" s="52"/>
      <c r="U98" s="52"/>
      <c r="V98" s="52"/>
      <c r="W98" s="52"/>
      <c r="X98" s="52"/>
      <c r="Y98" s="52"/>
      <c r="Z98" s="52"/>
    </row>
    <row r="99">
      <c r="A99" s="11"/>
      <c r="B99" s="89"/>
      <c r="C99" s="11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69"/>
      <c r="Q99" s="4"/>
      <c r="R99" s="52"/>
      <c r="S99" s="52"/>
      <c r="T99" s="52"/>
      <c r="U99" s="52"/>
      <c r="V99" s="52"/>
      <c r="W99" s="52"/>
      <c r="X99" s="52"/>
      <c r="Y99" s="52"/>
      <c r="Z99" s="52"/>
    </row>
    <row r="100">
      <c r="A100" s="11"/>
      <c r="B100" s="89"/>
      <c r="C100" s="11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69"/>
      <c r="Q100" s="4"/>
      <c r="R100" s="52"/>
      <c r="S100" s="52"/>
      <c r="T100" s="52"/>
      <c r="U100" s="52"/>
      <c r="V100" s="52"/>
      <c r="W100" s="52"/>
      <c r="X100" s="52"/>
      <c r="Y100" s="52"/>
      <c r="Z100" s="52"/>
    </row>
    <row r="101">
      <c r="A101" s="11"/>
      <c r="B101" s="89"/>
      <c r="C101" s="11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69"/>
      <c r="Q101" s="4"/>
      <c r="R101" s="52"/>
      <c r="S101" s="52"/>
      <c r="T101" s="52"/>
      <c r="U101" s="52"/>
      <c r="V101" s="52"/>
      <c r="W101" s="52"/>
      <c r="X101" s="52"/>
      <c r="Y101" s="52"/>
      <c r="Z101" s="52"/>
    </row>
    <row r="102">
      <c r="A102" s="11"/>
      <c r="B102" s="89"/>
      <c r="C102" s="11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69"/>
      <c r="Q102" s="4"/>
      <c r="R102" s="52"/>
      <c r="S102" s="52"/>
      <c r="T102" s="52"/>
      <c r="U102" s="52"/>
      <c r="V102" s="52"/>
      <c r="W102" s="52"/>
      <c r="X102" s="52"/>
      <c r="Y102" s="52"/>
      <c r="Z102" s="52"/>
    </row>
    <row r="103">
      <c r="A103" s="11"/>
      <c r="B103" s="89"/>
      <c r="C103" s="11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69"/>
      <c r="Q103" s="4"/>
      <c r="R103" s="52"/>
      <c r="S103" s="52"/>
      <c r="T103" s="52"/>
      <c r="U103" s="52"/>
      <c r="V103" s="52"/>
      <c r="W103" s="52"/>
      <c r="X103" s="52"/>
      <c r="Y103" s="52"/>
      <c r="Z103" s="52"/>
    </row>
    <row r="104">
      <c r="A104" s="11"/>
      <c r="B104" s="89"/>
      <c r="C104" s="1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69"/>
      <c r="Q104" s="4"/>
      <c r="R104" s="52"/>
      <c r="S104" s="52"/>
      <c r="T104" s="52"/>
      <c r="U104" s="52"/>
      <c r="V104" s="52"/>
      <c r="W104" s="52"/>
      <c r="X104" s="52"/>
      <c r="Y104" s="52"/>
      <c r="Z104" s="52"/>
    </row>
    <row r="105">
      <c r="A105" s="11"/>
      <c r="B105" s="89"/>
      <c r="C105" s="11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69"/>
      <c r="Q105" s="4"/>
      <c r="R105" s="52"/>
      <c r="S105" s="52"/>
      <c r="T105" s="52"/>
      <c r="U105" s="52"/>
      <c r="V105" s="52"/>
      <c r="W105" s="52"/>
      <c r="X105" s="52"/>
      <c r="Y105" s="52"/>
      <c r="Z105" s="52"/>
    </row>
    <row r="106">
      <c r="A106" s="11"/>
      <c r="B106" s="89"/>
      <c r="C106" s="11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69"/>
      <c r="Q106" s="4"/>
      <c r="R106" s="52"/>
      <c r="S106" s="52"/>
      <c r="T106" s="52"/>
      <c r="U106" s="52"/>
      <c r="V106" s="52"/>
      <c r="W106" s="52"/>
      <c r="X106" s="52"/>
      <c r="Y106" s="52"/>
      <c r="Z106" s="52"/>
    </row>
    <row r="107">
      <c r="A107" s="11"/>
      <c r="B107" s="89"/>
      <c r="C107" s="11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69"/>
      <c r="Q107" s="4"/>
      <c r="R107" s="52"/>
      <c r="S107" s="52"/>
      <c r="T107" s="52"/>
      <c r="U107" s="52"/>
      <c r="V107" s="52"/>
      <c r="W107" s="52"/>
      <c r="X107" s="52"/>
      <c r="Y107" s="52"/>
      <c r="Z107" s="52"/>
    </row>
    <row r="108">
      <c r="A108" s="11"/>
      <c r="B108" s="89"/>
      <c r="C108" s="11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69"/>
      <c r="Q108" s="4"/>
      <c r="R108" s="52"/>
      <c r="S108" s="52"/>
      <c r="T108" s="52"/>
      <c r="U108" s="52"/>
      <c r="V108" s="52"/>
      <c r="W108" s="52"/>
      <c r="X108" s="52"/>
      <c r="Y108" s="52"/>
      <c r="Z108" s="52"/>
    </row>
    <row r="109">
      <c r="A109" s="11"/>
      <c r="B109" s="89"/>
      <c r="C109" s="11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69"/>
      <c r="Q109" s="4"/>
      <c r="R109" s="52"/>
      <c r="S109" s="52"/>
      <c r="T109" s="52"/>
      <c r="U109" s="52"/>
      <c r="V109" s="52"/>
      <c r="W109" s="52"/>
      <c r="X109" s="52"/>
      <c r="Y109" s="52"/>
      <c r="Z109" s="52"/>
    </row>
    <row r="110">
      <c r="A110" s="11"/>
      <c r="B110" s="89"/>
      <c r="C110" s="11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69"/>
      <c r="Q110" s="4"/>
      <c r="R110" s="52"/>
      <c r="S110" s="52"/>
      <c r="T110" s="52"/>
      <c r="U110" s="52"/>
      <c r="V110" s="52"/>
      <c r="W110" s="52"/>
      <c r="X110" s="52"/>
      <c r="Y110" s="52"/>
      <c r="Z110" s="52"/>
    </row>
    <row r="111">
      <c r="A111" s="11"/>
      <c r="B111" s="89"/>
      <c r="C111" s="11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69"/>
      <c r="Q111" s="4"/>
      <c r="R111" s="52"/>
      <c r="S111" s="52"/>
      <c r="T111" s="52"/>
      <c r="U111" s="52"/>
      <c r="V111" s="52"/>
      <c r="W111" s="52"/>
      <c r="X111" s="52"/>
      <c r="Y111" s="52"/>
      <c r="Z111" s="52"/>
    </row>
    <row r="112">
      <c r="A112" s="11"/>
      <c r="B112" s="89"/>
      <c r="C112" s="11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69"/>
      <c r="Q112" s="4"/>
      <c r="R112" s="52"/>
      <c r="S112" s="52"/>
      <c r="T112" s="52"/>
      <c r="U112" s="52"/>
      <c r="V112" s="52"/>
      <c r="W112" s="52"/>
      <c r="X112" s="52"/>
      <c r="Y112" s="52"/>
      <c r="Z112" s="52"/>
    </row>
    <row r="113">
      <c r="A113" s="11"/>
      <c r="B113" s="89"/>
      <c r="C113" s="11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69"/>
      <c r="Q113" s="4"/>
      <c r="R113" s="52"/>
      <c r="S113" s="52"/>
      <c r="T113" s="52"/>
      <c r="U113" s="52"/>
      <c r="V113" s="52"/>
      <c r="W113" s="52"/>
      <c r="X113" s="52"/>
      <c r="Y113" s="52"/>
      <c r="Z113" s="52"/>
    </row>
    <row r="114">
      <c r="A114" s="11"/>
      <c r="B114" s="89"/>
      <c r="C114" s="11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69"/>
      <c r="Q114" s="4"/>
      <c r="R114" s="52"/>
      <c r="S114" s="52"/>
      <c r="T114" s="52"/>
      <c r="U114" s="52"/>
      <c r="V114" s="52"/>
      <c r="W114" s="52"/>
      <c r="X114" s="52"/>
      <c r="Y114" s="52"/>
      <c r="Z114" s="52"/>
    </row>
    <row r="115">
      <c r="A115" s="11"/>
      <c r="B115" s="89"/>
      <c r="C115" s="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69"/>
      <c r="Q115" s="4"/>
      <c r="R115" s="52"/>
      <c r="S115" s="52"/>
      <c r="T115" s="52"/>
      <c r="U115" s="52"/>
      <c r="V115" s="52"/>
      <c r="W115" s="52"/>
      <c r="X115" s="52"/>
      <c r="Y115" s="52"/>
      <c r="Z115" s="52"/>
    </row>
    <row r="116">
      <c r="A116" s="11"/>
      <c r="B116" s="89"/>
      <c r="C116" s="11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69"/>
      <c r="Q116" s="4"/>
      <c r="R116" s="52"/>
      <c r="S116" s="52"/>
      <c r="T116" s="52"/>
      <c r="U116" s="52"/>
      <c r="V116" s="52"/>
      <c r="W116" s="52"/>
      <c r="X116" s="52"/>
      <c r="Y116" s="52"/>
      <c r="Z116" s="52"/>
    </row>
    <row r="117">
      <c r="A117" s="11"/>
      <c r="B117" s="89"/>
      <c r="C117" s="11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69"/>
      <c r="Q117" s="4"/>
      <c r="R117" s="52"/>
      <c r="S117" s="52"/>
      <c r="T117" s="52"/>
      <c r="U117" s="52"/>
      <c r="V117" s="52"/>
      <c r="W117" s="52"/>
      <c r="X117" s="52"/>
      <c r="Y117" s="52"/>
      <c r="Z117" s="52"/>
    </row>
    <row r="118">
      <c r="A118" s="11"/>
      <c r="B118" s="89"/>
      <c r="C118" s="11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69"/>
      <c r="Q118" s="4"/>
      <c r="R118" s="52"/>
      <c r="S118" s="52"/>
      <c r="T118" s="52"/>
      <c r="U118" s="52"/>
      <c r="V118" s="52"/>
      <c r="W118" s="52"/>
      <c r="X118" s="52"/>
      <c r="Y118" s="52"/>
      <c r="Z118" s="52"/>
    </row>
    <row r="119">
      <c r="A119" s="11"/>
      <c r="B119" s="89"/>
      <c r="C119" s="11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69"/>
      <c r="Q119" s="4"/>
      <c r="R119" s="52"/>
      <c r="S119" s="52"/>
      <c r="T119" s="52"/>
      <c r="U119" s="52"/>
      <c r="V119" s="52"/>
      <c r="W119" s="52"/>
      <c r="X119" s="52"/>
      <c r="Y119" s="52"/>
      <c r="Z119" s="52"/>
    </row>
    <row r="120">
      <c r="A120" s="11"/>
      <c r="B120" s="89"/>
      <c r="C120" s="11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69"/>
      <c r="Q120" s="4"/>
      <c r="R120" s="52"/>
      <c r="S120" s="52"/>
      <c r="T120" s="52"/>
      <c r="U120" s="52"/>
      <c r="V120" s="52"/>
      <c r="W120" s="52"/>
      <c r="X120" s="52"/>
      <c r="Y120" s="52"/>
      <c r="Z120" s="52"/>
    </row>
    <row r="121">
      <c r="A121" s="11"/>
      <c r="B121" s="89"/>
      <c r="C121" s="11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69"/>
      <c r="Q121" s="4"/>
      <c r="R121" s="52"/>
      <c r="S121" s="52"/>
      <c r="T121" s="52"/>
      <c r="U121" s="52"/>
      <c r="V121" s="52"/>
      <c r="W121" s="52"/>
      <c r="X121" s="52"/>
      <c r="Y121" s="52"/>
      <c r="Z121" s="52"/>
    </row>
    <row r="122">
      <c r="A122" s="11"/>
      <c r="B122" s="89"/>
      <c r="C122" s="11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69"/>
      <c r="Q122" s="4"/>
      <c r="R122" s="52"/>
      <c r="S122" s="52"/>
      <c r="T122" s="52"/>
      <c r="U122" s="52"/>
      <c r="V122" s="52"/>
      <c r="W122" s="52"/>
      <c r="X122" s="52"/>
      <c r="Y122" s="52"/>
      <c r="Z122" s="52"/>
    </row>
    <row r="123">
      <c r="A123" s="11"/>
      <c r="B123" s="89"/>
      <c r="C123" s="11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69"/>
      <c r="Q123" s="4"/>
      <c r="R123" s="52"/>
      <c r="S123" s="52"/>
      <c r="T123" s="52"/>
      <c r="U123" s="52"/>
      <c r="V123" s="52"/>
      <c r="W123" s="52"/>
      <c r="X123" s="52"/>
      <c r="Y123" s="52"/>
      <c r="Z123" s="52"/>
    </row>
    <row r="124">
      <c r="A124" s="11"/>
      <c r="B124" s="89"/>
      <c r="C124" s="11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69"/>
      <c r="Q124" s="4"/>
      <c r="R124" s="52"/>
      <c r="S124" s="52"/>
      <c r="T124" s="52"/>
      <c r="U124" s="52"/>
      <c r="V124" s="52"/>
      <c r="W124" s="52"/>
      <c r="X124" s="52"/>
      <c r="Y124" s="52"/>
      <c r="Z124" s="52"/>
    </row>
    <row r="125">
      <c r="A125" s="11"/>
      <c r="B125" s="89"/>
      <c r="C125" s="11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69"/>
      <c r="Q125" s="4"/>
      <c r="R125" s="52"/>
      <c r="S125" s="52"/>
      <c r="T125" s="52"/>
      <c r="U125" s="52"/>
      <c r="V125" s="52"/>
      <c r="W125" s="52"/>
      <c r="X125" s="52"/>
      <c r="Y125" s="52"/>
      <c r="Z125" s="52"/>
    </row>
    <row r="126">
      <c r="A126" s="11"/>
      <c r="B126" s="89"/>
      <c r="C126" s="11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69"/>
      <c r="Q126" s="4"/>
      <c r="R126" s="52"/>
      <c r="S126" s="52"/>
      <c r="T126" s="52"/>
      <c r="U126" s="52"/>
      <c r="V126" s="52"/>
      <c r="W126" s="52"/>
      <c r="X126" s="52"/>
      <c r="Y126" s="52"/>
      <c r="Z126" s="52"/>
    </row>
    <row r="127">
      <c r="A127" s="11"/>
      <c r="B127" s="89"/>
      <c r="C127" s="11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69"/>
      <c r="Q127" s="4"/>
      <c r="R127" s="52"/>
      <c r="S127" s="52"/>
      <c r="T127" s="52"/>
      <c r="U127" s="52"/>
      <c r="V127" s="52"/>
      <c r="W127" s="52"/>
      <c r="X127" s="52"/>
      <c r="Y127" s="52"/>
      <c r="Z127" s="52"/>
    </row>
    <row r="128">
      <c r="A128" s="11"/>
      <c r="B128" s="89"/>
      <c r="C128" s="11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69"/>
      <c r="Q128" s="4"/>
      <c r="R128" s="52"/>
      <c r="S128" s="52"/>
      <c r="T128" s="52"/>
      <c r="U128" s="52"/>
      <c r="V128" s="52"/>
      <c r="W128" s="52"/>
      <c r="X128" s="52"/>
      <c r="Y128" s="52"/>
      <c r="Z128" s="52"/>
    </row>
    <row r="129">
      <c r="A129" s="11"/>
      <c r="B129" s="89"/>
      <c r="C129" s="11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69"/>
      <c r="Q129" s="4"/>
      <c r="R129" s="52"/>
      <c r="S129" s="52"/>
      <c r="T129" s="52"/>
      <c r="U129" s="52"/>
      <c r="V129" s="52"/>
      <c r="W129" s="52"/>
      <c r="X129" s="52"/>
      <c r="Y129" s="52"/>
      <c r="Z129" s="52"/>
    </row>
    <row r="130">
      <c r="A130" s="11"/>
      <c r="B130" s="89"/>
      <c r="C130" s="11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69"/>
      <c r="Q130" s="4"/>
      <c r="R130" s="52"/>
      <c r="S130" s="52"/>
      <c r="T130" s="52"/>
      <c r="U130" s="52"/>
      <c r="V130" s="52"/>
      <c r="W130" s="52"/>
      <c r="X130" s="52"/>
      <c r="Y130" s="52"/>
      <c r="Z130" s="52"/>
    </row>
    <row r="131">
      <c r="A131" s="11"/>
      <c r="B131" s="89"/>
      <c r="C131" s="11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69"/>
      <c r="Q131" s="4"/>
      <c r="R131" s="52"/>
      <c r="S131" s="52"/>
      <c r="T131" s="52"/>
      <c r="U131" s="52"/>
      <c r="V131" s="52"/>
      <c r="W131" s="52"/>
      <c r="X131" s="52"/>
      <c r="Y131" s="52"/>
      <c r="Z131" s="52"/>
    </row>
    <row r="132">
      <c r="A132" s="11"/>
      <c r="B132" s="89"/>
      <c r="C132" s="11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69"/>
      <c r="Q132" s="4"/>
      <c r="R132" s="52"/>
      <c r="S132" s="52"/>
      <c r="T132" s="52"/>
      <c r="U132" s="52"/>
      <c r="V132" s="52"/>
      <c r="W132" s="52"/>
      <c r="X132" s="52"/>
      <c r="Y132" s="52"/>
      <c r="Z132" s="52"/>
    </row>
    <row r="133">
      <c r="A133" s="11"/>
      <c r="B133" s="89"/>
      <c r="C133" s="11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69"/>
      <c r="Q133" s="4"/>
      <c r="R133" s="52"/>
      <c r="S133" s="52"/>
      <c r="T133" s="52"/>
      <c r="U133" s="52"/>
      <c r="V133" s="52"/>
      <c r="W133" s="52"/>
      <c r="X133" s="52"/>
      <c r="Y133" s="52"/>
      <c r="Z133" s="52"/>
    </row>
    <row r="134">
      <c r="A134" s="11"/>
      <c r="B134" s="89"/>
      <c r="C134" s="11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69"/>
      <c r="Q134" s="4"/>
      <c r="R134" s="52"/>
      <c r="S134" s="52"/>
      <c r="T134" s="52"/>
      <c r="U134" s="52"/>
      <c r="V134" s="52"/>
      <c r="W134" s="52"/>
      <c r="X134" s="52"/>
      <c r="Y134" s="52"/>
      <c r="Z134" s="52"/>
    </row>
    <row r="135">
      <c r="A135" s="11"/>
      <c r="B135" s="89"/>
      <c r="C135" s="11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69"/>
      <c r="Q135" s="4"/>
      <c r="R135" s="52"/>
      <c r="S135" s="52"/>
      <c r="T135" s="52"/>
      <c r="U135" s="52"/>
      <c r="V135" s="52"/>
      <c r="W135" s="52"/>
      <c r="X135" s="52"/>
      <c r="Y135" s="52"/>
      <c r="Z135" s="52"/>
    </row>
    <row r="136">
      <c r="A136" s="11"/>
      <c r="B136" s="89"/>
      <c r="C136" s="11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69"/>
      <c r="Q136" s="4"/>
      <c r="R136" s="52"/>
      <c r="S136" s="52"/>
      <c r="T136" s="52"/>
      <c r="U136" s="52"/>
      <c r="V136" s="52"/>
      <c r="W136" s="52"/>
      <c r="X136" s="52"/>
      <c r="Y136" s="52"/>
      <c r="Z136" s="52"/>
    </row>
    <row r="137">
      <c r="A137" s="11"/>
      <c r="B137" s="89"/>
      <c r="C137" s="11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69"/>
      <c r="Q137" s="4"/>
      <c r="R137" s="52"/>
      <c r="S137" s="52"/>
      <c r="T137" s="52"/>
      <c r="U137" s="52"/>
      <c r="V137" s="52"/>
      <c r="W137" s="52"/>
      <c r="X137" s="52"/>
      <c r="Y137" s="52"/>
      <c r="Z137" s="52"/>
    </row>
    <row r="138">
      <c r="A138" s="11"/>
      <c r="B138" s="89"/>
      <c r="C138" s="11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69"/>
      <c r="Q138" s="4"/>
      <c r="R138" s="52"/>
      <c r="S138" s="52"/>
      <c r="T138" s="52"/>
      <c r="U138" s="52"/>
      <c r="V138" s="52"/>
      <c r="W138" s="52"/>
      <c r="X138" s="52"/>
      <c r="Y138" s="52"/>
      <c r="Z138" s="52"/>
    </row>
    <row r="139">
      <c r="A139" s="11"/>
      <c r="B139" s="89"/>
      <c r="C139" s="11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69"/>
      <c r="Q139" s="4"/>
      <c r="R139" s="52"/>
      <c r="S139" s="52"/>
      <c r="T139" s="52"/>
      <c r="U139" s="52"/>
      <c r="V139" s="52"/>
      <c r="W139" s="52"/>
      <c r="X139" s="52"/>
      <c r="Y139" s="52"/>
      <c r="Z139" s="52"/>
    </row>
    <row r="140">
      <c r="A140" s="11"/>
      <c r="B140" s="89"/>
      <c r="C140" s="11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69"/>
      <c r="Q140" s="4"/>
      <c r="R140" s="52"/>
      <c r="S140" s="52"/>
      <c r="T140" s="52"/>
      <c r="U140" s="52"/>
      <c r="V140" s="52"/>
      <c r="W140" s="52"/>
      <c r="X140" s="52"/>
      <c r="Y140" s="52"/>
      <c r="Z140" s="52"/>
    </row>
    <row r="141">
      <c r="A141" s="11"/>
      <c r="B141" s="89"/>
      <c r="C141" s="11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69"/>
      <c r="Q141" s="4"/>
      <c r="R141" s="52"/>
      <c r="S141" s="52"/>
      <c r="T141" s="52"/>
      <c r="U141" s="52"/>
      <c r="V141" s="52"/>
      <c r="W141" s="52"/>
      <c r="X141" s="52"/>
      <c r="Y141" s="52"/>
      <c r="Z141" s="52"/>
    </row>
    <row r="142">
      <c r="A142" s="11"/>
      <c r="B142" s="89"/>
      <c r="C142" s="11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69"/>
      <c r="Q142" s="4"/>
      <c r="R142" s="52"/>
      <c r="S142" s="52"/>
      <c r="T142" s="52"/>
      <c r="U142" s="52"/>
      <c r="V142" s="52"/>
      <c r="W142" s="52"/>
      <c r="X142" s="52"/>
      <c r="Y142" s="52"/>
      <c r="Z142" s="52"/>
    </row>
    <row r="143">
      <c r="A143" s="11"/>
      <c r="B143" s="89"/>
      <c r="C143" s="11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69"/>
      <c r="Q143" s="4"/>
      <c r="R143" s="52"/>
      <c r="S143" s="52"/>
      <c r="T143" s="52"/>
      <c r="U143" s="52"/>
      <c r="V143" s="52"/>
      <c r="W143" s="52"/>
      <c r="X143" s="52"/>
      <c r="Y143" s="52"/>
      <c r="Z143" s="52"/>
    </row>
    <row r="144">
      <c r="A144" s="11"/>
      <c r="B144" s="89"/>
      <c r="C144" s="11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69"/>
      <c r="Q144" s="4"/>
      <c r="R144" s="52"/>
      <c r="S144" s="52"/>
      <c r="T144" s="52"/>
      <c r="U144" s="52"/>
      <c r="V144" s="52"/>
      <c r="W144" s="52"/>
      <c r="X144" s="52"/>
      <c r="Y144" s="52"/>
      <c r="Z144" s="52"/>
    </row>
    <row r="145">
      <c r="A145" s="11"/>
      <c r="B145" s="89"/>
      <c r="C145" s="11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69"/>
      <c r="Q145" s="4"/>
      <c r="R145" s="52"/>
      <c r="S145" s="52"/>
      <c r="T145" s="52"/>
      <c r="U145" s="52"/>
      <c r="V145" s="52"/>
      <c r="W145" s="52"/>
      <c r="X145" s="52"/>
      <c r="Y145" s="52"/>
      <c r="Z145" s="52"/>
    </row>
    <row r="146">
      <c r="A146" s="11"/>
      <c r="B146" s="89"/>
      <c r="C146" s="11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69"/>
      <c r="Q146" s="4"/>
      <c r="R146" s="52"/>
      <c r="S146" s="52"/>
      <c r="T146" s="52"/>
      <c r="U146" s="52"/>
      <c r="V146" s="52"/>
      <c r="W146" s="52"/>
      <c r="X146" s="52"/>
      <c r="Y146" s="52"/>
      <c r="Z146" s="52"/>
    </row>
    <row r="147">
      <c r="A147" s="11"/>
      <c r="B147" s="89"/>
      <c r="C147" s="11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69"/>
      <c r="Q147" s="4"/>
      <c r="R147" s="52"/>
      <c r="S147" s="52"/>
      <c r="T147" s="52"/>
      <c r="U147" s="52"/>
      <c r="V147" s="52"/>
      <c r="W147" s="52"/>
      <c r="X147" s="52"/>
      <c r="Y147" s="52"/>
      <c r="Z147" s="52"/>
    </row>
    <row r="148">
      <c r="A148" s="11"/>
      <c r="B148" s="89"/>
      <c r="C148" s="11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69"/>
      <c r="Q148" s="4"/>
      <c r="R148" s="52"/>
      <c r="S148" s="52"/>
      <c r="T148" s="52"/>
      <c r="U148" s="52"/>
      <c r="V148" s="52"/>
      <c r="W148" s="52"/>
      <c r="X148" s="52"/>
      <c r="Y148" s="52"/>
      <c r="Z148" s="52"/>
    </row>
    <row r="149">
      <c r="A149" s="11"/>
      <c r="B149" s="89"/>
      <c r="C149" s="11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69"/>
      <c r="Q149" s="4"/>
      <c r="R149" s="52"/>
      <c r="S149" s="52"/>
      <c r="T149" s="52"/>
      <c r="U149" s="52"/>
      <c r="V149" s="52"/>
      <c r="W149" s="52"/>
      <c r="X149" s="52"/>
      <c r="Y149" s="52"/>
      <c r="Z149" s="52"/>
    </row>
    <row r="150">
      <c r="A150" s="11"/>
      <c r="B150" s="89"/>
      <c r="C150" s="11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69"/>
      <c r="Q150" s="4"/>
      <c r="R150" s="52"/>
      <c r="S150" s="52"/>
      <c r="T150" s="52"/>
      <c r="U150" s="52"/>
      <c r="V150" s="52"/>
      <c r="W150" s="52"/>
      <c r="X150" s="52"/>
      <c r="Y150" s="52"/>
      <c r="Z150" s="52"/>
    </row>
    <row r="151">
      <c r="A151" s="11"/>
      <c r="B151" s="89"/>
      <c r="C151" s="11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69"/>
      <c r="Q151" s="4"/>
      <c r="R151" s="52"/>
      <c r="S151" s="52"/>
      <c r="T151" s="52"/>
      <c r="U151" s="52"/>
      <c r="V151" s="52"/>
      <c r="W151" s="52"/>
      <c r="X151" s="52"/>
      <c r="Y151" s="52"/>
      <c r="Z151" s="52"/>
    </row>
    <row r="152">
      <c r="A152" s="11"/>
      <c r="B152" s="89"/>
      <c r="C152" s="11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69"/>
      <c r="Q152" s="4"/>
      <c r="R152" s="52"/>
      <c r="S152" s="52"/>
      <c r="T152" s="52"/>
      <c r="U152" s="52"/>
      <c r="V152" s="52"/>
      <c r="W152" s="52"/>
      <c r="X152" s="52"/>
      <c r="Y152" s="52"/>
      <c r="Z152" s="52"/>
    </row>
    <row r="153">
      <c r="A153" s="11"/>
      <c r="B153" s="89"/>
      <c r="C153" s="11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69"/>
      <c r="Q153" s="4"/>
      <c r="R153" s="52"/>
      <c r="S153" s="52"/>
      <c r="T153" s="52"/>
      <c r="U153" s="52"/>
      <c r="V153" s="52"/>
      <c r="W153" s="52"/>
      <c r="X153" s="52"/>
      <c r="Y153" s="52"/>
      <c r="Z153" s="52"/>
    </row>
    <row r="154">
      <c r="A154" s="11"/>
      <c r="B154" s="89"/>
      <c r="C154" s="11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69"/>
      <c r="Q154" s="4"/>
      <c r="R154" s="52"/>
      <c r="S154" s="52"/>
      <c r="T154" s="52"/>
      <c r="U154" s="52"/>
      <c r="V154" s="52"/>
      <c r="W154" s="52"/>
      <c r="X154" s="52"/>
      <c r="Y154" s="52"/>
      <c r="Z154" s="52"/>
    </row>
    <row r="155">
      <c r="A155" s="11"/>
      <c r="B155" s="89"/>
      <c r="C155" s="11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69"/>
      <c r="Q155" s="4"/>
      <c r="R155" s="52"/>
      <c r="S155" s="52"/>
      <c r="T155" s="52"/>
      <c r="U155" s="52"/>
      <c r="V155" s="52"/>
      <c r="W155" s="52"/>
      <c r="X155" s="52"/>
      <c r="Y155" s="52"/>
      <c r="Z155" s="52"/>
    </row>
    <row r="156">
      <c r="A156" s="11"/>
      <c r="B156" s="89"/>
      <c r="C156" s="11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69"/>
      <c r="Q156" s="4"/>
      <c r="R156" s="52"/>
      <c r="S156" s="52"/>
      <c r="T156" s="52"/>
      <c r="U156" s="52"/>
      <c r="V156" s="52"/>
      <c r="W156" s="52"/>
      <c r="X156" s="52"/>
      <c r="Y156" s="52"/>
      <c r="Z156" s="52"/>
    </row>
    <row r="157">
      <c r="A157" s="11"/>
      <c r="B157" s="89"/>
      <c r="C157" s="11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69"/>
      <c r="Q157" s="4"/>
      <c r="R157" s="52"/>
      <c r="S157" s="52"/>
      <c r="T157" s="52"/>
      <c r="U157" s="52"/>
      <c r="V157" s="52"/>
      <c r="W157" s="52"/>
      <c r="X157" s="52"/>
      <c r="Y157" s="52"/>
      <c r="Z157" s="52"/>
    </row>
    <row r="158">
      <c r="A158" s="11"/>
      <c r="B158" s="89"/>
      <c r="C158" s="11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69"/>
      <c r="Q158" s="4"/>
      <c r="R158" s="52"/>
      <c r="S158" s="52"/>
      <c r="T158" s="52"/>
      <c r="U158" s="52"/>
      <c r="V158" s="52"/>
      <c r="W158" s="52"/>
      <c r="X158" s="52"/>
      <c r="Y158" s="52"/>
      <c r="Z158" s="52"/>
    </row>
    <row r="159">
      <c r="A159" s="11"/>
      <c r="B159" s="89"/>
      <c r="C159" s="11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69"/>
      <c r="Q159" s="4"/>
      <c r="R159" s="52"/>
      <c r="S159" s="52"/>
      <c r="T159" s="52"/>
      <c r="U159" s="52"/>
      <c r="V159" s="52"/>
      <c r="W159" s="52"/>
      <c r="X159" s="52"/>
      <c r="Y159" s="52"/>
      <c r="Z159" s="52"/>
    </row>
    <row r="160">
      <c r="A160" s="11"/>
      <c r="B160" s="89"/>
      <c r="C160" s="11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69"/>
      <c r="Q160" s="4"/>
      <c r="R160" s="52"/>
      <c r="S160" s="52"/>
      <c r="T160" s="52"/>
      <c r="U160" s="52"/>
      <c r="V160" s="52"/>
      <c r="W160" s="52"/>
      <c r="X160" s="52"/>
      <c r="Y160" s="52"/>
      <c r="Z160" s="52"/>
    </row>
    <row r="161">
      <c r="A161" s="11"/>
      <c r="B161" s="89"/>
      <c r="C161" s="11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69"/>
      <c r="Q161" s="4"/>
      <c r="R161" s="52"/>
      <c r="S161" s="52"/>
      <c r="T161" s="52"/>
      <c r="U161" s="52"/>
      <c r="V161" s="52"/>
      <c r="W161" s="52"/>
      <c r="X161" s="52"/>
      <c r="Y161" s="52"/>
      <c r="Z161" s="52"/>
    </row>
    <row r="162">
      <c r="A162" s="11"/>
      <c r="B162" s="89"/>
      <c r="C162" s="11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69"/>
      <c r="Q162" s="4"/>
      <c r="R162" s="52"/>
      <c r="S162" s="52"/>
      <c r="T162" s="52"/>
      <c r="U162" s="52"/>
      <c r="V162" s="52"/>
      <c r="W162" s="52"/>
      <c r="X162" s="52"/>
      <c r="Y162" s="52"/>
      <c r="Z162" s="52"/>
    </row>
    <row r="163">
      <c r="A163" s="11"/>
      <c r="B163" s="89"/>
      <c r="C163" s="11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69"/>
      <c r="Q163" s="4"/>
      <c r="R163" s="52"/>
      <c r="S163" s="52"/>
      <c r="T163" s="52"/>
      <c r="U163" s="52"/>
      <c r="V163" s="52"/>
      <c r="W163" s="52"/>
      <c r="X163" s="52"/>
      <c r="Y163" s="52"/>
      <c r="Z163" s="52"/>
    </row>
    <row r="164">
      <c r="A164" s="11"/>
      <c r="B164" s="89"/>
      <c r="C164" s="11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69"/>
      <c r="Q164" s="4"/>
      <c r="R164" s="52"/>
      <c r="S164" s="52"/>
      <c r="T164" s="52"/>
      <c r="U164" s="52"/>
      <c r="V164" s="52"/>
      <c r="W164" s="52"/>
      <c r="X164" s="52"/>
      <c r="Y164" s="52"/>
      <c r="Z164" s="52"/>
    </row>
    <row r="165">
      <c r="A165" s="11"/>
      <c r="B165" s="89"/>
      <c r="C165" s="11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69"/>
      <c r="Q165" s="4"/>
      <c r="R165" s="52"/>
      <c r="S165" s="52"/>
      <c r="T165" s="52"/>
      <c r="U165" s="52"/>
      <c r="V165" s="52"/>
      <c r="W165" s="52"/>
      <c r="X165" s="52"/>
      <c r="Y165" s="52"/>
      <c r="Z165" s="52"/>
    </row>
    <row r="166">
      <c r="A166" s="11"/>
      <c r="B166" s="89"/>
      <c r="C166" s="11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69"/>
      <c r="Q166" s="4"/>
      <c r="R166" s="52"/>
      <c r="S166" s="52"/>
      <c r="T166" s="52"/>
      <c r="U166" s="52"/>
      <c r="V166" s="52"/>
      <c r="W166" s="52"/>
      <c r="X166" s="52"/>
      <c r="Y166" s="52"/>
      <c r="Z166" s="52"/>
    </row>
    <row r="167">
      <c r="A167" s="11"/>
      <c r="B167" s="89"/>
      <c r="C167" s="11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69"/>
      <c r="Q167" s="4"/>
      <c r="R167" s="52"/>
      <c r="S167" s="52"/>
      <c r="T167" s="52"/>
      <c r="U167" s="52"/>
      <c r="V167" s="52"/>
      <c r="W167" s="52"/>
      <c r="X167" s="52"/>
      <c r="Y167" s="52"/>
      <c r="Z167" s="52"/>
    </row>
    <row r="168">
      <c r="A168" s="11"/>
      <c r="B168" s="89"/>
      <c r="C168" s="11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69"/>
      <c r="Q168" s="4"/>
      <c r="R168" s="52"/>
      <c r="S168" s="52"/>
      <c r="T168" s="52"/>
      <c r="U168" s="52"/>
      <c r="V168" s="52"/>
      <c r="W168" s="52"/>
      <c r="X168" s="52"/>
      <c r="Y168" s="52"/>
      <c r="Z168" s="52"/>
    </row>
    <row r="169">
      <c r="A169" s="11"/>
      <c r="B169" s="89"/>
      <c r="C169" s="11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69"/>
      <c r="Q169" s="4"/>
      <c r="R169" s="52"/>
      <c r="S169" s="52"/>
      <c r="T169" s="52"/>
      <c r="U169" s="52"/>
      <c r="V169" s="52"/>
      <c r="W169" s="52"/>
      <c r="X169" s="52"/>
      <c r="Y169" s="52"/>
      <c r="Z169" s="52"/>
    </row>
    <row r="170">
      <c r="A170" s="11"/>
      <c r="B170" s="89"/>
      <c r="C170" s="11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69"/>
      <c r="Q170" s="4"/>
      <c r="R170" s="52"/>
      <c r="S170" s="52"/>
      <c r="T170" s="52"/>
      <c r="U170" s="52"/>
      <c r="V170" s="52"/>
      <c r="W170" s="52"/>
      <c r="X170" s="52"/>
      <c r="Y170" s="52"/>
      <c r="Z170" s="52"/>
    </row>
    <row r="171">
      <c r="A171" s="11"/>
      <c r="B171" s="89"/>
      <c r="C171" s="11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69"/>
      <c r="Q171" s="4"/>
      <c r="R171" s="52"/>
      <c r="S171" s="52"/>
      <c r="T171" s="52"/>
      <c r="U171" s="52"/>
      <c r="V171" s="52"/>
      <c r="W171" s="52"/>
      <c r="X171" s="52"/>
      <c r="Y171" s="52"/>
      <c r="Z171" s="52"/>
    </row>
    <row r="172">
      <c r="A172" s="11"/>
      <c r="B172" s="89"/>
      <c r="C172" s="11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69"/>
      <c r="Q172" s="4"/>
      <c r="R172" s="52"/>
      <c r="S172" s="52"/>
      <c r="T172" s="52"/>
      <c r="U172" s="52"/>
      <c r="V172" s="52"/>
      <c r="W172" s="52"/>
      <c r="X172" s="52"/>
      <c r="Y172" s="52"/>
      <c r="Z172" s="52"/>
    </row>
    <row r="173">
      <c r="A173" s="11"/>
      <c r="B173" s="89"/>
      <c r="C173" s="11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69"/>
      <c r="Q173" s="4"/>
      <c r="R173" s="52"/>
      <c r="S173" s="52"/>
      <c r="T173" s="52"/>
      <c r="U173" s="52"/>
      <c r="V173" s="52"/>
      <c r="W173" s="52"/>
      <c r="X173" s="52"/>
      <c r="Y173" s="52"/>
      <c r="Z173" s="52"/>
    </row>
    <row r="174">
      <c r="A174" s="11"/>
      <c r="B174" s="89"/>
      <c r="C174" s="11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69"/>
      <c r="Q174" s="4"/>
      <c r="R174" s="52"/>
      <c r="S174" s="52"/>
      <c r="T174" s="52"/>
      <c r="U174" s="52"/>
      <c r="V174" s="52"/>
      <c r="W174" s="52"/>
      <c r="X174" s="52"/>
      <c r="Y174" s="52"/>
      <c r="Z174" s="52"/>
    </row>
    <row r="175">
      <c r="A175" s="11"/>
      <c r="B175" s="89"/>
      <c r="C175" s="11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69"/>
      <c r="Q175" s="4"/>
      <c r="R175" s="52"/>
      <c r="S175" s="52"/>
      <c r="T175" s="52"/>
      <c r="U175" s="52"/>
      <c r="V175" s="52"/>
      <c r="W175" s="52"/>
      <c r="X175" s="52"/>
      <c r="Y175" s="52"/>
      <c r="Z175" s="52"/>
    </row>
    <row r="176">
      <c r="A176" s="11"/>
      <c r="B176" s="89"/>
      <c r="C176" s="11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69"/>
      <c r="Q176" s="4"/>
      <c r="R176" s="52"/>
      <c r="S176" s="52"/>
      <c r="T176" s="52"/>
      <c r="U176" s="52"/>
      <c r="V176" s="52"/>
      <c r="W176" s="52"/>
      <c r="X176" s="52"/>
      <c r="Y176" s="52"/>
      <c r="Z176" s="52"/>
    </row>
    <row r="177">
      <c r="A177" s="11"/>
      <c r="B177" s="89"/>
      <c r="C177" s="11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69"/>
      <c r="Q177" s="4"/>
      <c r="R177" s="52"/>
      <c r="S177" s="52"/>
      <c r="T177" s="52"/>
      <c r="U177" s="52"/>
      <c r="V177" s="52"/>
      <c r="W177" s="52"/>
      <c r="X177" s="52"/>
      <c r="Y177" s="52"/>
      <c r="Z177" s="52"/>
    </row>
    <row r="178">
      <c r="A178" s="11"/>
      <c r="B178" s="89"/>
      <c r="C178" s="11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69"/>
      <c r="Q178" s="4"/>
      <c r="R178" s="52"/>
      <c r="S178" s="52"/>
      <c r="T178" s="52"/>
      <c r="U178" s="52"/>
      <c r="V178" s="52"/>
      <c r="W178" s="52"/>
      <c r="X178" s="52"/>
      <c r="Y178" s="52"/>
      <c r="Z178" s="52"/>
    </row>
    <row r="179">
      <c r="A179" s="11"/>
      <c r="B179" s="89"/>
      <c r="C179" s="11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69"/>
      <c r="Q179" s="4"/>
      <c r="R179" s="52"/>
      <c r="S179" s="52"/>
      <c r="T179" s="52"/>
      <c r="U179" s="52"/>
      <c r="V179" s="52"/>
      <c r="W179" s="52"/>
      <c r="X179" s="52"/>
      <c r="Y179" s="52"/>
      <c r="Z179" s="52"/>
    </row>
    <row r="180">
      <c r="A180" s="11"/>
      <c r="B180" s="89"/>
      <c r="C180" s="11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69"/>
      <c r="Q180" s="4"/>
      <c r="R180" s="52"/>
      <c r="S180" s="52"/>
      <c r="T180" s="52"/>
      <c r="U180" s="52"/>
      <c r="V180" s="52"/>
      <c r="W180" s="52"/>
      <c r="X180" s="52"/>
      <c r="Y180" s="52"/>
      <c r="Z180" s="52"/>
    </row>
    <row r="181">
      <c r="A181" s="11"/>
      <c r="B181" s="89"/>
      <c r="C181" s="11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69"/>
      <c r="Q181" s="4"/>
      <c r="R181" s="52"/>
      <c r="S181" s="52"/>
      <c r="T181" s="52"/>
      <c r="U181" s="52"/>
      <c r="V181" s="52"/>
      <c r="W181" s="52"/>
      <c r="X181" s="52"/>
      <c r="Y181" s="52"/>
      <c r="Z181" s="52"/>
    </row>
    <row r="182">
      <c r="A182" s="11"/>
      <c r="B182" s="89"/>
      <c r="C182" s="11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69"/>
      <c r="Q182" s="4"/>
      <c r="R182" s="52"/>
      <c r="S182" s="52"/>
      <c r="T182" s="52"/>
      <c r="U182" s="52"/>
      <c r="V182" s="52"/>
      <c r="W182" s="52"/>
      <c r="X182" s="52"/>
      <c r="Y182" s="52"/>
      <c r="Z182" s="52"/>
    </row>
    <row r="183">
      <c r="A183" s="11"/>
      <c r="B183" s="89"/>
      <c r="C183" s="11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69"/>
      <c r="Q183" s="4"/>
      <c r="R183" s="52"/>
      <c r="S183" s="52"/>
      <c r="T183" s="52"/>
      <c r="U183" s="52"/>
      <c r="V183" s="52"/>
      <c r="W183" s="52"/>
      <c r="X183" s="52"/>
      <c r="Y183" s="52"/>
      <c r="Z183" s="52"/>
    </row>
    <row r="184">
      <c r="A184" s="11"/>
      <c r="B184" s="89"/>
      <c r="C184" s="11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69"/>
      <c r="Q184" s="4"/>
      <c r="R184" s="52"/>
      <c r="S184" s="52"/>
      <c r="T184" s="52"/>
      <c r="U184" s="52"/>
      <c r="V184" s="52"/>
      <c r="W184" s="52"/>
      <c r="X184" s="52"/>
      <c r="Y184" s="52"/>
      <c r="Z184" s="52"/>
    </row>
    <row r="185">
      <c r="A185" s="11"/>
      <c r="B185" s="89"/>
      <c r="C185" s="11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69"/>
      <c r="Q185" s="4"/>
      <c r="R185" s="52"/>
      <c r="S185" s="52"/>
      <c r="T185" s="52"/>
      <c r="U185" s="52"/>
      <c r="V185" s="52"/>
      <c r="W185" s="52"/>
      <c r="X185" s="52"/>
      <c r="Y185" s="52"/>
      <c r="Z185" s="52"/>
    </row>
    <row r="186">
      <c r="A186" s="11"/>
      <c r="B186" s="89"/>
      <c r="C186" s="11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69"/>
      <c r="Q186" s="4"/>
      <c r="R186" s="52"/>
      <c r="S186" s="52"/>
      <c r="T186" s="52"/>
      <c r="U186" s="52"/>
      <c r="V186" s="52"/>
      <c r="W186" s="52"/>
      <c r="X186" s="52"/>
      <c r="Y186" s="52"/>
      <c r="Z186" s="52"/>
    </row>
    <row r="187">
      <c r="A187" s="11"/>
      <c r="B187" s="89"/>
      <c r="C187" s="11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69"/>
      <c r="Q187" s="4"/>
      <c r="R187" s="52"/>
      <c r="S187" s="52"/>
      <c r="T187" s="52"/>
      <c r="U187" s="52"/>
      <c r="V187" s="52"/>
      <c r="W187" s="52"/>
      <c r="X187" s="52"/>
      <c r="Y187" s="52"/>
      <c r="Z187" s="52"/>
    </row>
    <row r="188">
      <c r="A188" s="11"/>
      <c r="B188" s="89"/>
      <c r="C188" s="11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69"/>
      <c r="Q188" s="4"/>
      <c r="R188" s="52"/>
      <c r="S188" s="52"/>
      <c r="T188" s="52"/>
      <c r="U188" s="52"/>
      <c r="V188" s="52"/>
      <c r="W188" s="52"/>
      <c r="X188" s="52"/>
      <c r="Y188" s="52"/>
      <c r="Z188" s="52"/>
    </row>
    <row r="189">
      <c r="A189" s="11"/>
      <c r="B189" s="89"/>
      <c r="C189" s="11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69"/>
      <c r="Q189" s="4"/>
      <c r="R189" s="52"/>
      <c r="S189" s="52"/>
      <c r="T189" s="52"/>
      <c r="U189" s="52"/>
      <c r="V189" s="52"/>
      <c r="W189" s="52"/>
      <c r="X189" s="52"/>
      <c r="Y189" s="52"/>
      <c r="Z189" s="52"/>
    </row>
    <row r="190">
      <c r="A190" s="11"/>
      <c r="B190" s="89"/>
      <c r="C190" s="11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69"/>
      <c r="Q190" s="4"/>
      <c r="R190" s="52"/>
      <c r="S190" s="52"/>
      <c r="T190" s="52"/>
      <c r="U190" s="52"/>
      <c r="V190" s="52"/>
      <c r="W190" s="52"/>
      <c r="X190" s="52"/>
      <c r="Y190" s="52"/>
      <c r="Z190" s="52"/>
    </row>
    <row r="191">
      <c r="A191" s="11"/>
      <c r="B191" s="89"/>
      <c r="C191" s="11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69"/>
      <c r="Q191" s="4"/>
      <c r="R191" s="52"/>
      <c r="S191" s="52"/>
      <c r="T191" s="52"/>
      <c r="U191" s="52"/>
      <c r="V191" s="52"/>
      <c r="W191" s="52"/>
      <c r="X191" s="52"/>
      <c r="Y191" s="52"/>
      <c r="Z191" s="52"/>
    </row>
    <row r="192">
      <c r="A192" s="11"/>
      <c r="B192" s="89"/>
      <c r="C192" s="11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69"/>
      <c r="Q192" s="4"/>
      <c r="R192" s="52"/>
      <c r="S192" s="52"/>
      <c r="T192" s="52"/>
      <c r="U192" s="52"/>
      <c r="V192" s="52"/>
      <c r="W192" s="52"/>
      <c r="X192" s="52"/>
      <c r="Y192" s="52"/>
      <c r="Z192" s="52"/>
    </row>
    <row r="193">
      <c r="A193" s="11"/>
      <c r="B193" s="89"/>
      <c r="C193" s="11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69"/>
      <c r="Q193" s="4"/>
      <c r="R193" s="52"/>
      <c r="S193" s="52"/>
      <c r="T193" s="52"/>
      <c r="U193" s="52"/>
      <c r="V193" s="52"/>
      <c r="W193" s="52"/>
      <c r="X193" s="52"/>
      <c r="Y193" s="52"/>
      <c r="Z193" s="52"/>
    </row>
    <row r="194">
      <c r="A194" s="11"/>
      <c r="B194" s="89"/>
      <c r="C194" s="11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69"/>
      <c r="Q194" s="4"/>
      <c r="R194" s="52"/>
      <c r="S194" s="52"/>
      <c r="T194" s="52"/>
      <c r="U194" s="52"/>
      <c r="V194" s="52"/>
      <c r="W194" s="52"/>
      <c r="X194" s="52"/>
      <c r="Y194" s="52"/>
      <c r="Z194" s="52"/>
    </row>
    <row r="195">
      <c r="A195" s="11"/>
      <c r="B195" s="89"/>
      <c r="C195" s="11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69"/>
      <c r="Q195" s="4"/>
      <c r="R195" s="52"/>
      <c r="S195" s="52"/>
      <c r="T195" s="52"/>
      <c r="U195" s="52"/>
      <c r="V195" s="52"/>
      <c r="W195" s="52"/>
      <c r="X195" s="52"/>
      <c r="Y195" s="52"/>
      <c r="Z195" s="52"/>
    </row>
    <row r="196">
      <c r="A196" s="11"/>
      <c r="B196" s="89"/>
      <c r="C196" s="11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69"/>
      <c r="Q196" s="4"/>
      <c r="R196" s="52"/>
      <c r="S196" s="52"/>
      <c r="T196" s="52"/>
      <c r="U196" s="52"/>
      <c r="V196" s="52"/>
      <c r="W196" s="52"/>
      <c r="X196" s="52"/>
      <c r="Y196" s="52"/>
      <c r="Z196" s="52"/>
    </row>
    <row r="197">
      <c r="A197" s="11"/>
      <c r="B197" s="89"/>
      <c r="C197" s="11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69"/>
      <c r="Q197" s="4"/>
      <c r="R197" s="52"/>
      <c r="S197" s="52"/>
      <c r="T197" s="52"/>
      <c r="U197" s="52"/>
      <c r="V197" s="52"/>
      <c r="W197" s="52"/>
      <c r="X197" s="52"/>
      <c r="Y197" s="52"/>
      <c r="Z197" s="52"/>
    </row>
    <row r="198">
      <c r="A198" s="11"/>
      <c r="B198" s="89"/>
      <c r="C198" s="11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69"/>
      <c r="Q198" s="4"/>
      <c r="R198" s="52"/>
      <c r="S198" s="52"/>
      <c r="T198" s="52"/>
      <c r="U198" s="52"/>
      <c r="V198" s="52"/>
      <c r="W198" s="52"/>
      <c r="X198" s="52"/>
      <c r="Y198" s="52"/>
      <c r="Z198" s="52"/>
    </row>
    <row r="199">
      <c r="A199" s="11"/>
      <c r="B199" s="89"/>
      <c r="C199" s="11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69"/>
      <c r="Q199" s="4"/>
      <c r="R199" s="52"/>
      <c r="S199" s="52"/>
      <c r="T199" s="52"/>
      <c r="U199" s="52"/>
      <c r="V199" s="52"/>
      <c r="W199" s="52"/>
      <c r="X199" s="52"/>
      <c r="Y199" s="52"/>
      <c r="Z199" s="52"/>
    </row>
    <row r="200">
      <c r="A200" s="11"/>
      <c r="B200" s="89"/>
      <c r="C200" s="11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69"/>
      <c r="Q200" s="4"/>
      <c r="R200" s="52"/>
      <c r="S200" s="52"/>
      <c r="T200" s="52"/>
      <c r="U200" s="52"/>
      <c r="V200" s="52"/>
      <c r="W200" s="52"/>
      <c r="X200" s="52"/>
      <c r="Y200" s="52"/>
      <c r="Z200" s="52"/>
    </row>
    <row r="201">
      <c r="A201" s="11"/>
      <c r="B201" s="89"/>
      <c r="C201" s="11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69"/>
      <c r="Q201" s="4"/>
      <c r="R201" s="52"/>
      <c r="S201" s="52"/>
      <c r="T201" s="52"/>
      <c r="U201" s="52"/>
      <c r="V201" s="52"/>
      <c r="W201" s="52"/>
      <c r="X201" s="52"/>
      <c r="Y201" s="52"/>
      <c r="Z201" s="52"/>
    </row>
    <row r="202">
      <c r="A202" s="11"/>
      <c r="B202" s="89"/>
      <c r="C202" s="11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69"/>
      <c r="Q202" s="4"/>
      <c r="R202" s="52"/>
      <c r="S202" s="52"/>
      <c r="T202" s="52"/>
      <c r="U202" s="52"/>
      <c r="V202" s="52"/>
      <c r="W202" s="52"/>
      <c r="X202" s="52"/>
      <c r="Y202" s="52"/>
      <c r="Z202" s="52"/>
    </row>
    <row r="203">
      <c r="A203" s="11"/>
      <c r="B203" s="89"/>
      <c r="C203" s="11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69"/>
      <c r="Q203" s="4"/>
      <c r="R203" s="52"/>
      <c r="S203" s="52"/>
      <c r="T203" s="52"/>
      <c r="U203" s="52"/>
      <c r="V203" s="52"/>
      <c r="W203" s="52"/>
      <c r="X203" s="52"/>
      <c r="Y203" s="52"/>
      <c r="Z203" s="52"/>
    </row>
    <row r="204">
      <c r="A204" s="11"/>
      <c r="B204" s="89"/>
      <c r="C204" s="11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69"/>
      <c r="Q204" s="4"/>
      <c r="R204" s="52"/>
      <c r="S204" s="52"/>
      <c r="T204" s="52"/>
      <c r="U204" s="52"/>
      <c r="V204" s="52"/>
      <c r="W204" s="52"/>
      <c r="X204" s="52"/>
      <c r="Y204" s="52"/>
      <c r="Z204" s="52"/>
    </row>
    <row r="205">
      <c r="A205" s="11"/>
      <c r="B205" s="89"/>
      <c r="C205" s="11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69"/>
      <c r="Q205" s="4"/>
      <c r="R205" s="52"/>
      <c r="S205" s="52"/>
      <c r="T205" s="52"/>
      <c r="U205" s="52"/>
      <c r="V205" s="52"/>
      <c r="W205" s="52"/>
      <c r="X205" s="52"/>
      <c r="Y205" s="52"/>
      <c r="Z205" s="52"/>
    </row>
    <row r="206">
      <c r="A206" s="11"/>
      <c r="B206" s="89"/>
      <c r="C206" s="11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69"/>
      <c r="Q206" s="4"/>
      <c r="R206" s="52"/>
      <c r="S206" s="52"/>
      <c r="T206" s="52"/>
      <c r="U206" s="52"/>
      <c r="V206" s="52"/>
      <c r="W206" s="52"/>
      <c r="X206" s="52"/>
      <c r="Y206" s="52"/>
      <c r="Z206" s="52"/>
    </row>
    <row r="207">
      <c r="A207" s="11"/>
      <c r="B207" s="89"/>
      <c r="C207" s="11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69"/>
      <c r="Q207" s="4"/>
      <c r="R207" s="52"/>
      <c r="S207" s="52"/>
      <c r="T207" s="52"/>
      <c r="U207" s="52"/>
      <c r="V207" s="52"/>
      <c r="W207" s="52"/>
      <c r="X207" s="52"/>
      <c r="Y207" s="52"/>
      <c r="Z207" s="52"/>
    </row>
    <row r="208">
      <c r="A208" s="11"/>
      <c r="B208" s="89"/>
      <c r="C208" s="11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69"/>
      <c r="Q208" s="4"/>
      <c r="R208" s="52"/>
      <c r="S208" s="52"/>
      <c r="T208" s="52"/>
      <c r="U208" s="52"/>
      <c r="V208" s="52"/>
      <c r="W208" s="52"/>
      <c r="X208" s="52"/>
      <c r="Y208" s="52"/>
      <c r="Z208" s="52"/>
    </row>
    <row r="209">
      <c r="A209" s="11"/>
      <c r="B209" s="89"/>
      <c r="C209" s="11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69"/>
      <c r="Q209" s="4"/>
      <c r="R209" s="52"/>
      <c r="S209" s="52"/>
      <c r="T209" s="52"/>
      <c r="U209" s="52"/>
      <c r="V209" s="52"/>
      <c r="W209" s="52"/>
      <c r="X209" s="52"/>
      <c r="Y209" s="52"/>
      <c r="Z209" s="52"/>
    </row>
    <row r="210">
      <c r="A210" s="11"/>
      <c r="B210" s="89"/>
      <c r="C210" s="11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69"/>
      <c r="Q210" s="4"/>
      <c r="R210" s="52"/>
      <c r="S210" s="52"/>
      <c r="T210" s="52"/>
      <c r="U210" s="52"/>
      <c r="V210" s="52"/>
      <c r="W210" s="52"/>
      <c r="X210" s="52"/>
      <c r="Y210" s="52"/>
      <c r="Z210" s="52"/>
    </row>
    <row r="211">
      <c r="A211" s="11"/>
      <c r="B211" s="89"/>
      <c r="C211" s="11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69"/>
      <c r="Q211" s="4"/>
      <c r="R211" s="52"/>
      <c r="S211" s="52"/>
      <c r="T211" s="52"/>
      <c r="U211" s="52"/>
      <c r="V211" s="52"/>
      <c r="W211" s="52"/>
      <c r="X211" s="52"/>
      <c r="Y211" s="52"/>
      <c r="Z211" s="52"/>
    </row>
    <row r="212">
      <c r="A212" s="11"/>
      <c r="B212" s="89"/>
      <c r="C212" s="11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69"/>
      <c r="Q212" s="4"/>
      <c r="R212" s="52"/>
      <c r="S212" s="52"/>
      <c r="T212" s="52"/>
      <c r="U212" s="52"/>
      <c r="V212" s="52"/>
      <c r="W212" s="52"/>
      <c r="X212" s="52"/>
      <c r="Y212" s="52"/>
      <c r="Z212" s="52"/>
    </row>
    <row r="213">
      <c r="A213" s="11"/>
      <c r="B213" s="89"/>
      <c r="C213" s="11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69"/>
      <c r="Q213" s="4"/>
      <c r="R213" s="52"/>
      <c r="S213" s="52"/>
      <c r="T213" s="52"/>
      <c r="U213" s="52"/>
      <c r="V213" s="52"/>
      <c r="W213" s="52"/>
      <c r="X213" s="52"/>
      <c r="Y213" s="52"/>
      <c r="Z213" s="52"/>
    </row>
    <row r="214">
      <c r="A214" s="11"/>
      <c r="B214" s="89"/>
      <c r="C214" s="11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69"/>
      <c r="Q214" s="4"/>
      <c r="R214" s="52"/>
      <c r="S214" s="52"/>
      <c r="T214" s="52"/>
      <c r="U214" s="52"/>
      <c r="V214" s="52"/>
      <c r="W214" s="52"/>
      <c r="X214" s="52"/>
      <c r="Y214" s="52"/>
      <c r="Z214" s="52"/>
    </row>
    <row r="215">
      <c r="A215" s="11"/>
      <c r="B215" s="89"/>
      <c r="C215" s="11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69"/>
      <c r="Q215" s="4"/>
      <c r="R215" s="52"/>
      <c r="S215" s="52"/>
      <c r="T215" s="52"/>
      <c r="U215" s="52"/>
      <c r="V215" s="52"/>
      <c r="W215" s="52"/>
      <c r="X215" s="52"/>
      <c r="Y215" s="52"/>
      <c r="Z215" s="52"/>
    </row>
    <row r="216">
      <c r="A216" s="11"/>
      <c r="B216" s="89"/>
      <c r="C216" s="11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69"/>
      <c r="Q216" s="4"/>
      <c r="R216" s="52"/>
      <c r="S216" s="52"/>
      <c r="T216" s="52"/>
      <c r="U216" s="52"/>
      <c r="V216" s="52"/>
      <c r="W216" s="52"/>
      <c r="X216" s="52"/>
      <c r="Y216" s="52"/>
      <c r="Z216" s="52"/>
    </row>
    <row r="217">
      <c r="A217" s="11"/>
      <c r="B217" s="89"/>
      <c r="C217" s="11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69"/>
      <c r="Q217" s="4"/>
      <c r="R217" s="52"/>
      <c r="S217" s="52"/>
      <c r="T217" s="52"/>
      <c r="U217" s="52"/>
      <c r="V217" s="52"/>
      <c r="W217" s="52"/>
      <c r="X217" s="52"/>
      <c r="Y217" s="52"/>
      <c r="Z217" s="52"/>
    </row>
    <row r="218">
      <c r="A218" s="11"/>
      <c r="B218" s="89"/>
      <c r="C218" s="11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69"/>
      <c r="Q218" s="4"/>
      <c r="R218" s="52"/>
      <c r="S218" s="52"/>
      <c r="T218" s="52"/>
      <c r="U218" s="52"/>
      <c r="V218" s="52"/>
      <c r="W218" s="52"/>
      <c r="X218" s="52"/>
      <c r="Y218" s="52"/>
      <c r="Z218" s="52"/>
    </row>
    <row r="219">
      <c r="A219" s="11"/>
      <c r="B219" s="89"/>
      <c r="C219" s="11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69"/>
      <c r="Q219" s="4"/>
      <c r="R219" s="52"/>
      <c r="S219" s="52"/>
      <c r="T219" s="52"/>
      <c r="U219" s="52"/>
      <c r="V219" s="52"/>
      <c r="W219" s="52"/>
      <c r="X219" s="52"/>
      <c r="Y219" s="52"/>
      <c r="Z219" s="52"/>
    </row>
    <row r="220">
      <c r="A220" s="11"/>
      <c r="B220" s="89"/>
      <c r="C220" s="11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69"/>
      <c r="Q220" s="4"/>
      <c r="R220" s="52"/>
      <c r="S220" s="52"/>
      <c r="T220" s="52"/>
      <c r="U220" s="52"/>
      <c r="V220" s="52"/>
      <c r="W220" s="52"/>
      <c r="X220" s="52"/>
      <c r="Y220" s="52"/>
      <c r="Z220" s="52"/>
    </row>
    <row r="221">
      <c r="A221" s="11"/>
      <c r="B221" s="89"/>
      <c r="C221" s="11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69"/>
      <c r="Q221" s="4"/>
      <c r="R221" s="52"/>
      <c r="S221" s="52"/>
      <c r="T221" s="52"/>
      <c r="U221" s="52"/>
      <c r="V221" s="52"/>
      <c r="W221" s="52"/>
      <c r="X221" s="52"/>
      <c r="Y221" s="52"/>
      <c r="Z221" s="52"/>
    </row>
    <row r="222">
      <c r="A222" s="11"/>
      <c r="B222" s="89"/>
      <c r="C222" s="11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69"/>
      <c r="Q222" s="4"/>
      <c r="R222" s="52"/>
      <c r="S222" s="52"/>
      <c r="T222" s="52"/>
      <c r="U222" s="52"/>
      <c r="V222" s="52"/>
      <c r="W222" s="52"/>
      <c r="X222" s="52"/>
      <c r="Y222" s="52"/>
      <c r="Z222" s="52"/>
    </row>
    <row r="223">
      <c r="A223" s="11"/>
      <c r="B223" s="89"/>
      <c r="C223" s="11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69"/>
      <c r="Q223" s="4"/>
      <c r="R223" s="52"/>
      <c r="S223" s="52"/>
      <c r="T223" s="52"/>
      <c r="U223" s="52"/>
      <c r="V223" s="52"/>
      <c r="W223" s="52"/>
      <c r="X223" s="52"/>
      <c r="Y223" s="52"/>
      <c r="Z223" s="52"/>
    </row>
    <row r="224">
      <c r="A224" s="11"/>
      <c r="B224" s="89"/>
      <c r="C224" s="11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69"/>
      <c r="Q224" s="4"/>
      <c r="R224" s="52"/>
      <c r="S224" s="52"/>
      <c r="T224" s="52"/>
      <c r="U224" s="52"/>
      <c r="V224" s="52"/>
      <c r="W224" s="52"/>
      <c r="X224" s="52"/>
      <c r="Y224" s="52"/>
      <c r="Z224" s="52"/>
    </row>
    <row r="225">
      <c r="A225" s="11"/>
      <c r="B225" s="89"/>
      <c r="C225" s="11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69"/>
      <c r="Q225" s="4"/>
      <c r="R225" s="52"/>
      <c r="S225" s="52"/>
      <c r="T225" s="52"/>
      <c r="U225" s="52"/>
      <c r="V225" s="52"/>
      <c r="W225" s="52"/>
      <c r="X225" s="52"/>
      <c r="Y225" s="52"/>
      <c r="Z225" s="52"/>
    </row>
    <row r="226">
      <c r="A226" s="11"/>
      <c r="B226" s="89"/>
      <c r="C226" s="11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69"/>
      <c r="Q226" s="4"/>
      <c r="R226" s="52"/>
      <c r="S226" s="52"/>
      <c r="T226" s="52"/>
      <c r="U226" s="52"/>
      <c r="V226" s="52"/>
      <c r="W226" s="52"/>
      <c r="X226" s="52"/>
      <c r="Y226" s="52"/>
      <c r="Z226" s="52"/>
    </row>
    <row r="227">
      <c r="A227" s="11"/>
      <c r="B227" s="89"/>
      <c r="C227" s="11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69"/>
      <c r="Q227" s="4"/>
      <c r="R227" s="52"/>
      <c r="S227" s="52"/>
      <c r="T227" s="52"/>
      <c r="U227" s="52"/>
      <c r="V227" s="52"/>
      <c r="W227" s="52"/>
      <c r="X227" s="52"/>
      <c r="Y227" s="52"/>
      <c r="Z227" s="52"/>
    </row>
    <row r="228">
      <c r="A228" s="11"/>
      <c r="B228" s="89"/>
      <c r="C228" s="11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69"/>
      <c r="Q228" s="4"/>
      <c r="R228" s="52"/>
      <c r="S228" s="52"/>
      <c r="T228" s="52"/>
      <c r="U228" s="52"/>
      <c r="V228" s="52"/>
      <c r="W228" s="52"/>
      <c r="X228" s="52"/>
      <c r="Y228" s="52"/>
      <c r="Z228" s="52"/>
    </row>
    <row r="229">
      <c r="A229" s="11"/>
      <c r="B229" s="89"/>
      <c r="C229" s="11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69"/>
      <c r="Q229" s="4"/>
      <c r="R229" s="52"/>
      <c r="S229" s="52"/>
      <c r="T229" s="52"/>
      <c r="U229" s="52"/>
      <c r="V229" s="52"/>
      <c r="W229" s="52"/>
      <c r="X229" s="52"/>
      <c r="Y229" s="52"/>
      <c r="Z229" s="52"/>
    </row>
    <row r="230">
      <c r="A230" s="11"/>
      <c r="B230" s="89"/>
      <c r="C230" s="11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69"/>
      <c r="Q230" s="4"/>
      <c r="R230" s="52"/>
      <c r="S230" s="52"/>
      <c r="T230" s="52"/>
      <c r="U230" s="52"/>
      <c r="V230" s="52"/>
      <c r="W230" s="52"/>
      <c r="X230" s="52"/>
      <c r="Y230" s="52"/>
      <c r="Z230" s="52"/>
    </row>
    <row r="231">
      <c r="A231" s="11"/>
      <c r="B231" s="89"/>
      <c r="C231" s="11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69"/>
      <c r="Q231" s="4"/>
      <c r="R231" s="52"/>
      <c r="S231" s="52"/>
      <c r="T231" s="52"/>
      <c r="U231" s="52"/>
      <c r="V231" s="52"/>
      <c r="W231" s="52"/>
      <c r="X231" s="52"/>
      <c r="Y231" s="52"/>
      <c r="Z231" s="52"/>
    </row>
    <row r="232">
      <c r="A232" s="11"/>
      <c r="B232" s="89"/>
      <c r="C232" s="11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69"/>
      <c r="Q232" s="4"/>
      <c r="R232" s="52"/>
      <c r="S232" s="52"/>
      <c r="T232" s="52"/>
      <c r="U232" s="52"/>
      <c r="V232" s="52"/>
      <c r="W232" s="52"/>
      <c r="X232" s="52"/>
      <c r="Y232" s="52"/>
      <c r="Z232" s="52"/>
    </row>
    <row r="233">
      <c r="A233" s="11"/>
      <c r="B233" s="89"/>
      <c r="C233" s="11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69"/>
      <c r="Q233" s="4"/>
      <c r="R233" s="52"/>
      <c r="S233" s="52"/>
      <c r="T233" s="52"/>
      <c r="U233" s="52"/>
      <c r="V233" s="52"/>
      <c r="W233" s="52"/>
      <c r="X233" s="52"/>
      <c r="Y233" s="52"/>
      <c r="Z233" s="52"/>
    </row>
    <row r="234">
      <c r="A234" s="11"/>
      <c r="B234" s="89"/>
      <c r="C234" s="11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69"/>
      <c r="Q234" s="4"/>
      <c r="R234" s="52"/>
      <c r="S234" s="52"/>
      <c r="T234" s="52"/>
      <c r="U234" s="52"/>
      <c r="V234" s="52"/>
      <c r="W234" s="52"/>
      <c r="X234" s="52"/>
      <c r="Y234" s="52"/>
      <c r="Z234" s="52"/>
    </row>
    <row r="235">
      <c r="A235" s="11"/>
      <c r="B235" s="89"/>
      <c r="C235" s="11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69"/>
      <c r="Q235" s="4"/>
      <c r="R235" s="52"/>
      <c r="S235" s="52"/>
      <c r="T235" s="52"/>
      <c r="U235" s="52"/>
      <c r="V235" s="52"/>
      <c r="W235" s="52"/>
      <c r="X235" s="52"/>
      <c r="Y235" s="52"/>
      <c r="Z235" s="52"/>
    </row>
    <row r="236">
      <c r="A236" s="11"/>
      <c r="B236" s="89"/>
      <c r="C236" s="11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69"/>
      <c r="Q236" s="4"/>
      <c r="R236" s="52"/>
      <c r="S236" s="52"/>
      <c r="T236" s="52"/>
      <c r="U236" s="52"/>
      <c r="V236" s="52"/>
      <c r="W236" s="52"/>
      <c r="X236" s="52"/>
      <c r="Y236" s="52"/>
      <c r="Z236" s="52"/>
    </row>
    <row r="237">
      <c r="A237" s="11"/>
      <c r="B237" s="89"/>
      <c r="C237" s="11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69"/>
      <c r="Q237" s="4"/>
      <c r="R237" s="52"/>
      <c r="S237" s="52"/>
      <c r="T237" s="52"/>
      <c r="U237" s="52"/>
      <c r="V237" s="52"/>
      <c r="W237" s="52"/>
      <c r="X237" s="52"/>
      <c r="Y237" s="52"/>
      <c r="Z237" s="52"/>
    </row>
    <row r="238">
      <c r="A238" s="11"/>
      <c r="B238" s="89"/>
      <c r="C238" s="11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69"/>
      <c r="Q238" s="4"/>
      <c r="R238" s="52"/>
      <c r="S238" s="52"/>
      <c r="T238" s="52"/>
      <c r="U238" s="52"/>
      <c r="V238" s="52"/>
      <c r="W238" s="52"/>
      <c r="X238" s="52"/>
      <c r="Y238" s="52"/>
      <c r="Z238" s="52"/>
    </row>
    <row r="239">
      <c r="A239" s="11"/>
      <c r="B239" s="89"/>
      <c r="C239" s="11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69"/>
      <c r="Q239" s="4"/>
      <c r="R239" s="52"/>
      <c r="S239" s="52"/>
      <c r="T239" s="52"/>
      <c r="U239" s="52"/>
      <c r="V239" s="52"/>
      <c r="W239" s="52"/>
      <c r="X239" s="52"/>
      <c r="Y239" s="52"/>
      <c r="Z239" s="52"/>
    </row>
    <row r="240">
      <c r="A240" s="11"/>
      <c r="B240" s="89"/>
      <c r="C240" s="11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69"/>
      <c r="Q240" s="4"/>
      <c r="R240" s="52"/>
      <c r="S240" s="52"/>
      <c r="T240" s="52"/>
      <c r="U240" s="52"/>
      <c r="V240" s="52"/>
      <c r="W240" s="52"/>
      <c r="X240" s="52"/>
      <c r="Y240" s="52"/>
      <c r="Z240" s="52"/>
    </row>
    <row r="241">
      <c r="A241" s="11"/>
      <c r="B241" s="89"/>
      <c r="C241" s="11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69"/>
      <c r="Q241" s="4"/>
      <c r="R241" s="52"/>
      <c r="S241" s="52"/>
      <c r="T241" s="52"/>
      <c r="U241" s="52"/>
      <c r="V241" s="52"/>
      <c r="W241" s="52"/>
      <c r="X241" s="52"/>
      <c r="Y241" s="52"/>
      <c r="Z241" s="52"/>
    </row>
    <row r="242">
      <c r="A242" s="11"/>
      <c r="B242" s="89"/>
      <c r="C242" s="11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69"/>
      <c r="Q242" s="4"/>
      <c r="R242" s="52"/>
      <c r="S242" s="52"/>
      <c r="T242" s="52"/>
      <c r="U242" s="52"/>
      <c r="V242" s="52"/>
      <c r="W242" s="52"/>
      <c r="X242" s="52"/>
      <c r="Y242" s="52"/>
      <c r="Z242" s="52"/>
    </row>
    <row r="243">
      <c r="A243" s="11"/>
      <c r="B243" s="89"/>
      <c r="C243" s="11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69"/>
      <c r="Q243" s="4"/>
      <c r="R243" s="52"/>
      <c r="S243" s="52"/>
      <c r="T243" s="52"/>
      <c r="U243" s="52"/>
      <c r="V243" s="52"/>
      <c r="W243" s="52"/>
      <c r="X243" s="52"/>
      <c r="Y243" s="52"/>
      <c r="Z243" s="52"/>
    </row>
    <row r="244">
      <c r="A244" s="11"/>
      <c r="B244" s="89"/>
      <c r="C244" s="11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69"/>
      <c r="Q244" s="4"/>
      <c r="R244" s="52"/>
      <c r="S244" s="52"/>
      <c r="T244" s="52"/>
      <c r="U244" s="52"/>
      <c r="V244" s="52"/>
      <c r="W244" s="52"/>
      <c r="X244" s="52"/>
      <c r="Y244" s="52"/>
      <c r="Z244" s="52"/>
    </row>
    <row r="245">
      <c r="A245" s="11"/>
      <c r="B245" s="89"/>
      <c r="C245" s="11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69"/>
      <c r="Q245" s="4"/>
      <c r="R245" s="52"/>
      <c r="S245" s="52"/>
      <c r="T245" s="52"/>
      <c r="U245" s="52"/>
      <c r="V245" s="52"/>
      <c r="W245" s="52"/>
      <c r="X245" s="52"/>
      <c r="Y245" s="52"/>
      <c r="Z245" s="52"/>
    </row>
    <row r="246">
      <c r="A246" s="11"/>
      <c r="B246" s="89"/>
      <c r="C246" s="11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69"/>
      <c r="Q246" s="4"/>
      <c r="R246" s="52"/>
      <c r="S246" s="52"/>
      <c r="T246" s="52"/>
      <c r="U246" s="52"/>
      <c r="V246" s="52"/>
      <c r="W246" s="52"/>
      <c r="X246" s="52"/>
      <c r="Y246" s="52"/>
      <c r="Z246" s="52"/>
    </row>
    <row r="247">
      <c r="A247" s="11"/>
      <c r="B247" s="89"/>
      <c r="C247" s="11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69"/>
      <c r="Q247" s="4"/>
      <c r="R247" s="52"/>
      <c r="S247" s="52"/>
      <c r="T247" s="52"/>
      <c r="U247" s="52"/>
      <c r="V247" s="52"/>
      <c r="W247" s="52"/>
      <c r="X247" s="52"/>
      <c r="Y247" s="52"/>
      <c r="Z247" s="52"/>
    </row>
    <row r="248">
      <c r="A248" s="11"/>
      <c r="B248" s="89"/>
      <c r="C248" s="11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69"/>
      <c r="Q248" s="4"/>
      <c r="R248" s="52"/>
      <c r="S248" s="52"/>
      <c r="T248" s="52"/>
      <c r="U248" s="52"/>
      <c r="V248" s="52"/>
      <c r="W248" s="52"/>
      <c r="X248" s="52"/>
      <c r="Y248" s="52"/>
      <c r="Z248" s="52"/>
    </row>
    <row r="249">
      <c r="A249" s="11"/>
      <c r="B249" s="89"/>
      <c r="C249" s="11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69"/>
      <c r="Q249" s="4"/>
      <c r="R249" s="52"/>
      <c r="S249" s="52"/>
      <c r="T249" s="52"/>
      <c r="U249" s="52"/>
      <c r="V249" s="52"/>
      <c r="W249" s="52"/>
      <c r="X249" s="52"/>
      <c r="Y249" s="52"/>
      <c r="Z249" s="52"/>
    </row>
    <row r="250">
      <c r="A250" s="11"/>
      <c r="B250" s="89"/>
      <c r="C250" s="11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69"/>
      <c r="Q250" s="4"/>
      <c r="R250" s="52"/>
      <c r="S250" s="52"/>
      <c r="T250" s="52"/>
      <c r="U250" s="52"/>
      <c r="V250" s="52"/>
      <c r="W250" s="52"/>
      <c r="X250" s="52"/>
      <c r="Y250" s="52"/>
      <c r="Z250" s="52"/>
    </row>
    <row r="251">
      <c r="A251" s="11"/>
      <c r="B251" s="89"/>
      <c r="C251" s="11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69"/>
      <c r="Q251" s="4"/>
      <c r="R251" s="52"/>
      <c r="S251" s="52"/>
      <c r="T251" s="52"/>
      <c r="U251" s="52"/>
      <c r="V251" s="52"/>
      <c r="W251" s="52"/>
      <c r="X251" s="52"/>
      <c r="Y251" s="52"/>
      <c r="Z251" s="52"/>
    </row>
    <row r="252">
      <c r="A252" s="11"/>
      <c r="B252" s="89"/>
      <c r="C252" s="11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69"/>
      <c r="Q252" s="4"/>
      <c r="R252" s="52"/>
      <c r="S252" s="52"/>
      <c r="T252" s="52"/>
      <c r="U252" s="52"/>
      <c r="V252" s="52"/>
      <c r="W252" s="52"/>
      <c r="X252" s="52"/>
      <c r="Y252" s="52"/>
      <c r="Z252" s="52"/>
    </row>
    <row r="253">
      <c r="A253" s="11"/>
      <c r="B253" s="89"/>
      <c r="C253" s="11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69"/>
      <c r="Q253" s="4"/>
      <c r="R253" s="52"/>
      <c r="S253" s="52"/>
      <c r="T253" s="52"/>
      <c r="U253" s="52"/>
      <c r="V253" s="52"/>
      <c r="W253" s="52"/>
      <c r="X253" s="52"/>
      <c r="Y253" s="52"/>
      <c r="Z253" s="52"/>
    </row>
    <row r="254">
      <c r="A254" s="11"/>
      <c r="B254" s="89"/>
      <c r="C254" s="11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69"/>
      <c r="Q254" s="4"/>
      <c r="R254" s="52"/>
      <c r="S254" s="52"/>
      <c r="T254" s="52"/>
      <c r="U254" s="52"/>
      <c r="V254" s="52"/>
      <c r="W254" s="52"/>
      <c r="X254" s="52"/>
      <c r="Y254" s="52"/>
      <c r="Z254" s="52"/>
    </row>
    <row r="255">
      <c r="A255" s="11"/>
      <c r="B255" s="89"/>
      <c r="C255" s="11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69"/>
      <c r="Q255" s="4"/>
      <c r="R255" s="52"/>
      <c r="S255" s="52"/>
      <c r="T255" s="52"/>
      <c r="U255" s="52"/>
      <c r="V255" s="52"/>
      <c r="W255" s="52"/>
      <c r="X255" s="52"/>
      <c r="Y255" s="52"/>
      <c r="Z255" s="52"/>
    </row>
    <row r="256">
      <c r="A256" s="11"/>
      <c r="B256" s="89"/>
      <c r="C256" s="11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69"/>
      <c r="Q256" s="4"/>
      <c r="R256" s="52"/>
      <c r="S256" s="52"/>
      <c r="T256" s="52"/>
      <c r="U256" s="52"/>
      <c r="V256" s="52"/>
      <c r="W256" s="52"/>
      <c r="X256" s="52"/>
      <c r="Y256" s="52"/>
      <c r="Z256" s="52"/>
    </row>
    <row r="257">
      <c r="A257" s="11"/>
      <c r="B257" s="89"/>
      <c r="C257" s="11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69"/>
      <c r="Q257" s="4"/>
      <c r="R257" s="52"/>
      <c r="S257" s="52"/>
      <c r="T257" s="52"/>
      <c r="U257" s="52"/>
      <c r="V257" s="52"/>
      <c r="W257" s="52"/>
      <c r="X257" s="52"/>
      <c r="Y257" s="52"/>
      <c r="Z257" s="52"/>
    </row>
    <row r="258">
      <c r="A258" s="11"/>
      <c r="B258" s="89"/>
      <c r="C258" s="11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69"/>
      <c r="Q258" s="4"/>
      <c r="R258" s="52"/>
      <c r="S258" s="52"/>
      <c r="T258" s="52"/>
      <c r="U258" s="52"/>
      <c r="V258" s="52"/>
      <c r="W258" s="52"/>
      <c r="X258" s="52"/>
      <c r="Y258" s="52"/>
      <c r="Z258" s="52"/>
    </row>
    <row r="259">
      <c r="A259" s="11"/>
      <c r="B259" s="89"/>
      <c r="C259" s="11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69"/>
      <c r="Q259" s="4"/>
      <c r="R259" s="52"/>
      <c r="S259" s="52"/>
      <c r="T259" s="52"/>
      <c r="U259" s="52"/>
      <c r="V259" s="52"/>
      <c r="W259" s="52"/>
      <c r="X259" s="52"/>
      <c r="Y259" s="52"/>
      <c r="Z259" s="52"/>
    </row>
    <row r="260">
      <c r="A260" s="11"/>
      <c r="B260" s="89"/>
      <c r="C260" s="11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69"/>
      <c r="Q260" s="4"/>
      <c r="R260" s="52"/>
      <c r="S260" s="52"/>
      <c r="T260" s="52"/>
      <c r="U260" s="52"/>
      <c r="V260" s="52"/>
      <c r="W260" s="52"/>
      <c r="X260" s="52"/>
      <c r="Y260" s="52"/>
      <c r="Z260" s="52"/>
    </row>
    <row r="261">
      <c r="A261" s="11"/>
      <c r="B261" s="89"/>
      <c r="C261" s="11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69"/>
      <c r="Q261" s="4"/>
      <c r="R261" s="52"/>
      <c r="S261" s="52"/>
      <c r="T261" s="52"/>
      <c r="U261" s="52"/>
      <c r="V261" s="52"/>
      <c r="W261" s="52"/>
      <c r="X261" s="52"/>
      <c r="Y261" s="52"/>
      <c r="Z261" s="52"/>
    </row>
    <row r="262">
      <c r="A262" s="11"/>
      <c r="B262" s="89"/>
      <c r="C262" s="11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69"/>
      <c r="Q262" s="4"/>
      <c r="R262" s="52"/>
      <c r="S262" s="52"/>
      <c r="T262" s="52"/>
      <c r="U262" s="52"/>
      <c r="V262" s="52"/>
      <c r="W262" s="52"/>
      <c r="X262" s="52"/>
      <c r="Y262" s="52"/>
      <c r="Z262" s="52"/>
    </row>
    <row r="263">
      <c r="A263" s="11"/>
      <c r="B263" s="89"/>
      <c r="C263" s="11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69"/>
      <c r="Q263" s="4"/>
      <c r="R263" s="52"/>
      <c r="S263" s="52"/>
      <c r="T263" s="52"/>
      <c r="U263" s="52"/>
      <c r="V263" s="52"/>
      <c r="W263" s="52"/>
      <c r="X263" s="52"/>
      <c r="Y263" s="52"/>
      <c r="Z263" s="52"/>
    </row>
    <row r="264">
      <c r="A264" s="11"/>
      <c r="B264" s="89"/>
      <c r="C264" s="11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69"/>
      <c r="Q264" s="4"/>
      <c r="R264" s="52"/>
      <c r="S264" s="52"/>
      <c r="T264" s="52"/>
      <c r="U264" s="52"/>
      <c r="V264" s="52"/>
      <c r="W264" s="52"/>
      <c r="X264" s="52"/>
      <c r="Y264" s="52"/>
      <c r="Z264" s="52"/>
    </row>
    <row r="265">
      <c r="A265" s="11"/>
      <c r="B265" s="89"/>
      <c r="C265" s="11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69"/>
      <c r="Q265" s="4"/>
      <c r="R265" s="52"/>
      <c r="S265" s="52"/>
      <c r="T265" s="52"/>
      <c r="U265" s="52"/>
      <c r="V265" s="52"/>
      <c r="W265" s="52"/>
      <c r="X265" s="52"/>
      <c r="Y265" s="52"/>
      <c r="Z265" s="52"/>
    </row>
    <row r="266">
      <c r="A266" s="11"/>
      <c r="B266" s="89"/>
      <c r="C266" s="11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69"/>
      <c r="Q266" s="4"/>
      <c r="R266" s="52"/>
      <c r="S266" s="52"/>
      <c r="T266" s="52"/>
      <c r="U266" s="52"/>
      <c r="V266" s="52"/>
      <c r="W266" s="52"/>
      <c r="X266" s="52"/>
      <c r="Y266" s="52"/>
      <c r="Z266" s="52"/>
    </row>
    <row r="267">
      <c r="A267" s="11"/>
      <c r="B267" s="89"/>
      <c r="C267" s="11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69"/>
      <c r="Q267" s="4"/>
      <c r="R267" s="52"/>
      <c r="S267" s="52"/>
      <c r="T267" s="52"/>
      <c r="U267" s="52"/>
      <c r="V267" s="52"/>
      <c r="W267" s="52"/>
      <c r="X267" s="52"/>
      <c r="Y267" s="52"/>
      <c r="Z267" s="52"/>
    </row>
    <row r="268">
      <c r="A268" s="11"/>
      <c r="B268" s="89"/>
      <c r="C268" s="11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69"/>
      <c r="Q268" s="4"/>
      <c r="R268" s="52"/>
      <c r="S268" s="52"/>
      <c r="T268" s="52"/>
      <c r="U268" s="52"/>
      <c r="V268" s="52"/>
      <c r="W268" s="52"/>
      <c r="X268" s="52"/>
      <c r="Y268" s="52"/>
      <c r="Z268" s="52"/>
    </row>
    <row r="269">
      <c r="A269" s="11"/>
      <c r="B269" s="89"/>
      <c r="C269" s="11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69"/>
      <c r="Q269" s="4"/>
      <c r="R269" s="52"/>
      <c r="S269" s="52"/>
      <c r="T269" s="52"/>
      <c r="U269" s="52"/>
      <c r="V269" s="52"/>
      <c r="W269" s="52"/>
      <c r="X269" s="52"/>
      <c r="Y269" s="52"/>
      <c r="Z269" s="52"/>
    </row>
    <row r="270">
      <c r="A270" s="11"/>
      <c r="B270" s="89"/>
      <c r="C270" s="11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69"/>
      <c r="Q270" s="4"/>
      <c r="R270" s="52"/>
      <c r="S270" s="52"/>
      <c r="T270" s="52"/>
      <c r="U270" s="52"/>
      <c r="V270" s="52"/>
      <c r="W270" s="52"/>
      <c r="X270" s="52"/>
      <c r="Y270" s="52"/>
      <c r="Z270" s="52"/>
    </row>
    <row r="271">
      <c r="A271" s="11"/>
      <c r="B271" s="89"/>
      <c r="C271" s="11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69"/>
      <c r="Q271" s="4"/>
      <c r="R271" s="52"/>
      <c r="S271" s="52"/>
      <c r="T271" s="52"/>
      <c r="U271" s="52"/>
      <c r="V271" s="52"/>
      <c r="W271" s="52"/>
      <c r="X271" s="52"/>
      <c r="Y271" s="52"/>
      <c r="Z271" s="52"/>
    </row>
    <row r="272">
      <c r="A272" s="11"/>
      <c r="B272" s="89"/>
      <c r="C272" s="11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69"/>
      <c r="Q272" s="4"/>
      <c r="R272" s="52"/>
      <c r="S272" s="52"/>
      <c r="T272" s="52"/>
      <c r="U272" s="52"/>
      <c r="V272" s="52"/>
      <c r="W272" s="52"/>
      <c r="X272" s="52"/>
      <c r="Y272" s="52"/>
      <c r="Z272" s="52"/>
    </row>
    <row r="273">
      <c r="A273" s="11"/>
      <c r="B273" s="89"/>
      <c r="C273" s="11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69"/>
      <c r="Q273" s="4"/>
      <c r="R273" s="52"/>
      <c r="S273" s="52"/>
      <c r="T273" s="52"/>
      <c r="U273" s="52"/>
      <c r="V273" s="52"/>
      <c r="W273" s="52"/>
      <c r="X273" s="52"/>
      <c r="Y273" s="52"/>
      <c r="Z273" s="52"/>
    </row>
    <row r="274">
      <c r="A274" s="11"/>
      <c r="B274" s="89"/>
      <c r="C274" s="11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69"/>
      <c r="Q274" s="4"/>
      <c r="R274" s="52"/>
      <c r="S274" s="52"/>
      <c r="T274" s="52"/>
      <c r="U274" s="52"/>
      <c r="V274" s="52"/>
      <c r="W274" s="52"/>
      <c r="X274" s="52"/>
      <c r="Y274" s="52"/>
      <c r="Z274" s="52"/>
    </row>
    <row r="275">
      <c r="A275" s="11"/>
      <c r="B275" s="89"/>
      <c r="C275" s="11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69"/>
      <c r="Q275" s="4"/>
      <c r="R275" s="52"/>
      <c r="S275" s="52"/>
      <c r="T275" s="52"/>
      <c r="U275" s="52"/>
      <c r="V275" s="52"/>
      <c r="W275" s="52"/>
      <c r="X275" s="52"/>
      <c r="Y275" s="52"/>
      <c r="Z275" s="52"/>
    </row>
    <row r="276">
      <c r="A276" s="11"/>
      <c r="B276" s="89"/>
      <c r="C276" s="11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69"/>
      <c r="Q276" s="4"/>
      <c r="R276" s="52"/>
      <c r="S276" s="52"/>
      <c r="T276" s="52"/>
      <c r="U276" s="52"/>
      <c r="V276" s="52"/>
      <c r="W276" s="52"/>
      <c r="X276" s="52"/>
      <c r="Y276" s="52"/>
      <c r="Z276" s="52"/>
    </row>
    <row r="277">
      <c r="A277" s="11"/>
      <c r="B277" s="89"/>
      <c r="C277" s="11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69"/>
      <c r="Q277" s="4"/>
      <c r="R277" s="52"/>
      <c r="S277" s="52"/>
      <c r="T277" s="52"/>
      <c r="U277" s="52"/>
      <c r="V277" s="52"/>
      <c r="W277" s="52"/>
      <c r="X277" s="52"/>
      <c r="Y277" s="52"/>
      <c r="Z277" s="52"/>
    </row>
    <row r="278">
      <c r="A278" s="11"/>
      <c r="B278" s="89"/>
      <c r="C278" s="11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69"/>
      <c r="Q278" s="4"/>
      <c r="R278" s="52"/>
      <c r="S278" s="52"/>
      <c r="T278" s="52"/>
      <c r="U278" s="52"/>
      <c r="V278" s="52"/>
      <c r="W278" s="52"/>
      <c r="X278" s="52"/>
      <c r="Y278" s="52"/>
      <c r="Z278" s="52"/>
    </row>
    <row r="279">
      <c r="A279" s="11"/>
      <c r="B279" s="89"/>
      <c r="C279" s="11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69"/>
      <c r="Q279" s="4"/>
      <c r="R279" s="52"/>
      <c r="S279" s="52"/>
      <c r="T279" s="52"/>
      <c r="U279" s="52"/>
      <c r="V279" s="52"/>
      <c r="W279" s="52"/>
      <c r="X279" s="52"/>
      <c r="Y279" s="52"/>
      <c r="Z279" s="52"/>
    </row>
    <row r="280">
      <c r="A280" s="11"/>
      <c r="B280" s="89"/>
      <c r="C280" s="11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69"/>
      <c r="Q280" s="4"/>
      <c r="R280" s="52"/>
      <c r="S280" s="52"/>
      <c r="T280" s="52"/>
      <c r="U280" s="52"/>
      <c r="V280" s="52"/>
      <c r="W280" s="52"/>
      <c r="X280" s="52"/>
      <c r="Y280" s="52"/>
      <c r="Z280" s="52"/>
    </row>
    <row r="281">
      <c r="A281" s="11"/>
      <c r="B281" s="89"/>
      <c r="C281" s="11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69"/>
      <c r="Q281" s="4"/>
      <c r="R281" s="52"/>
      <c r="S281" s="52"/>
      <c r="T281" s="52"/>
      <c r="U281" s="52"/>
      <c r="V281" s="52"/>
      <c r="W281" s="52"/>
      <c r="X281" s="52"/>
      <c r="Y281" s="52"/>
      <c r="Z281" s="52"/>
    </row>
    <row r="282">
      <c r="A282" s="11"/>
      <c r="B282" s="89"/>
      <c r="C282" s="11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69"/>
      <c r="Q282" s="4"/>
      <c r="R282" s="52"/>
      <c r="S282" s="52"/>
      <c r="T282" s="52"/>
      <c r="U282" s="52"/>
      <c r="V282" s="52"/>
      <c r="W282" s="52"/>
      <c r="X282" s="52"/>
      <c r="Y282" s="52"/>
      <c r="Z282" s="52"/>
    </row>
    <row r="283">
      <c r="A283" s="11"/>
      <c r="B283" s="89"/>
      <c r="C283" s="11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69"/>
      <c r="Q283" s="4"/>
      <c r="R283" s="52"/>
      <c r="S283" s="52"/>
      <c r="T283" s="52"/>
      <c r="U283" s="52"/>
      <c r="V283" s="52"/>
      <c r="W283" s="52"/>
      <c r="X283" s="52"/>
      <c r="Y283" s="52"/>
      <c r="Z283" s="52"/>
    </row>
    <row r="284">
      <c r="A284" s="11"/>
      <c r="B284" s="89"/>
      <c r="C284" s="11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69"/>
      <c r="Q284" s="4"/>
      <c r="R284" s="52"/>
      <c r="S284" s="52"/>
      <c r="T284" s="52"/>
      <c r="U284" s="52"/>
      <c r="V284" s="52"/>
      <c r="W284" s="52"/>
      <c r="X284" s="52"/>
      <c r="Y284" s="52"/>
      <c r="Z284" s="52"/>
    </row>
    <row r="285">
      <c r="A285" s="11"/>
      <c r="B285" s="89"/>
      <c r="C285" s="11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69"/>
      <c r="Q285" s="4"/>
      <c r="R285" s="52"/>
      <c r="S285" s="52"/>
      <c r="T285" s="52"/>
      <c r="U285" s="52"/>
      <c r="V285" s="52"/>
      <c r="W285" s="52"/>
      <c r="X285" s="52"/>
      <c r="Y285" s="52"/>
      <c r="Z285" s="52"/>
    </row>
    <row r="286">
      <c r="A286" s="11"/>
      <c r="B286" s="89"/>
      <c r="C286" s="11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69"/>
      <c r="Q286" s="4"/>
      <c r="R286" s="52"/>
      <c r="S286" s="52"/>
      <c r="T286" s="52"/>
      <c r="U286" s="52"/>
      <c r="V286" s="52"/>
      <c r="W286" s="52"/>
      <c r="X286" s="52"/>
      <c r="Y286" s="52"/>
      <c r="Z286" s="52"/>
    </row>
    <row r="287">
      <c r="A287" s="11"/>
      <c r="B287" s="89"/>
      <c r="C287" s="11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69"/>
      <c r="Q287" s="4"/>
      <c r="R287" s="52"/>
      <c r="S287" s="52"/>
      <c r="T287" s="52"/>
      <c r="U287" s="52"/>
      <c r="V287" s="52"/>
      <c r="W287" s="52"/>
      <c r="X287" s="52"/>
      <c r="Y287" s="52"/>
      <c r="Z287" s="52"/>
    </row>
    <row r="288">
      <c r="A288" s="11"/>
      <c r="B288" s="89"/>
      <c r="C288" s="11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69"/>
      <c r="Q288" s="4"/>
      <c r="R288" s="52"/>
      <c r="S288" s="52"/>
      <c r="T288" s="52"/>
      <c r="U288" s="52"/>
      <c r="V288" s="52"/>
      <c r="W288" s="52"/>
      <c r="X288" s="52"/>
      <c r="Y288" s="52"/>
      <c r="Z288" s="52"/>
    </row>
    <row r="289">
      <c r="A289" s="11"/>
      <c r="B289" s="89"/>
      <c r="C289" s="11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69"/>
      <c r="Q289" s="4"/>
      <c r="R289" s="52"/>
      <c r="S289" s="52"/>
      <c r="T289" s="52"/>
      <c r="U289" s="52"/>
      <c r="V289" s="52"/>
      <c r="W289" s="52"/>
      <c r="X289" s="52"/>
      <c r="Y289" s="52"/>
      <c r="Z289" s="52"/>
    </row>
    <row r="290">
      <c r="A290" s="11"/>
      <c r="B290" s="89"/>
      <c r="C290" s="11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69"/>
      <c r="Q290" s="4"/>
      <c r="R290" s="52"/>
      <c r="S290" s="52"/>
      <c r="T290" s="52"/>
      <c r="U290" s="52"/>
      <c r="V290" s="52"/>
      <c r="W290" s="52"/>
      <c r="X290" s="52"/>
      <c r="Y290" s="52"/>
      <c r="Z290" s="52"/>
    </row>
    <row r="291">
      <c r="A291" s="11"/>
      <c r="B291" s="89"/>
      <c r="C291" s="11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69"/>
      <c r="Q291" s="4"/>
      <c r="R291" s="52"/>
      <c r="S291" s="52"/>
      <c r="T291" s="52"/>
      <c r="U291" s="52"/>
      <c r="V291" s="52"/>
      <c r="W291" s="52"/>
      <c r="X291" s="52"/>
      <c r="Y291" s="52"/>
      <c r="Z291" s="52"/>
    </row>
    <row r="292">
      <c r="A292" s="11"/>
      <c r="B292" s="89"/>
      <c r="C292" s="11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69"/>
      <c r="Q292" s="4"/>
      <c r="R292" s="52"/>
      <c r="S292" s="52"/>
      <c r="T292" s="52"/>
      <c r="U292" s="52"/>
      <c r="V292" s="52"/>
      <c r="W292" s="52"/>
      <c r="X292" s="52"/>
      <c r="Y292" s="52"/>
      <c r="Z292" s="52"/>
    </row>
    <row r="293">
      <c r="A293" s="11"/>
      <c r="B293" s="89"/>
      <c r="C293" s="11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69"/>
      <c r="Q293" s="4"/>
      <c r="R293" s="52"/>
      <c r="S293" s="52"/>
      <c r="T293" s="52"/>
      <c r="U293" s="52"/>
      <c r="V293" s="52"/>
      <c r="W293" s="52"/>
      <c r="X293" s="52"/>
      <c r="Y293" s="52"/>
      <c r="Z293" s="52"/>
    </row>
    <row r="294">
      <c r="A294" s="11"/>
      <c r="B294" s="89"/>
      <c r="C294" s="11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69"/>
      <c r="Q294" s="4"/>
      <c r="R294" s="52"/>
      <c r="S294" s="52"/>
      <c r="T294" s="52"/>
      <c r="U294" s="52"/>
      <c r="V294" s="52"/>
      <c r="W294" s="52"/>
      <c r="X294" s="52"/>
      <c r="Y294" s="52"/>
      <c r="Z294" s="52"/>
    </row>
    <row r="295">
      <c r="A295" s="11"/>
      <c r="B295" s="89"/>
      <c r="C295" s="11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69"/>
      <c r="Q295" s="4"/>
      <c r="R295" s="52"/>
      <c r="S295" s="52"/>
      <c r="T295" s="52"/>
      <c r="U295" s="52"/>
      <c r="V295" s="52"/>
      <c r="W295" s="52"/>
      <c r="X295" s="52"/>
      <c r="Y295" s="52"/>
      <c r="Z295" s="52"/>
    </row>
    <row r="296">
      <c r="A296" s="11"/>
      <c r="B296" s="89"/>
      <c r="C296" s="11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69"/>
      <c r="Q296" s="4"/>
      <c r="R296" s="52"/>
      <c r="S296" s="52"/>
      <c r="T296" s="52"/>
      <c r="U296" s="52"/>
      <c r="V296" s="52"/>
      <c r="W296" s="52"/>
      <c r="X296" s="52"/>
      <c r="Y296" s="52"/>
      <c r="Z296" s="52"/>
    </row>
    <row r="297">
      <c r="A297" s="11"/>
      <c r="B297" s="89"/>
      <c r="C297" s="11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69"/>
      <c r="Q297" s="4"/>
      <c r="R297" s="52"/>
      <c r="S297" s="52"/>
      <c r="T297" s="52"/>
      <c r="U297" s="52"/>
      <c r="V297" s="52"/>
      <c r="W297" s="52"/>
      <c r="X297" s="52"/>
      <c r="Y297" s="52"/>
      <c r="Z297" s="52"/>
    </row>
    <row r="298">
      <c r="A298" s="11"/>
      <c r="B298" s="89"/>
      <c r="C298" s="11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69"/>
      <c r="Q298" s="4"/>
      <c r="R298" s="52"/>
      <c r="S298" s="52"/>
      <c r="T298" s="52"/>
      <c r="U298" s="52"/>
      <c r="V298" s="52"/>
      <c r="W298" s="52"/>
      <c r="X298" s="52"/>
      <c r="Y298" s="52"/>
      <c r="Z298" s="52"/>
    </row>
    <row r="299">
      <c r="A299" s="11"/>
      <c r="B299" s="89"/>
      <c r="C299" s="11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69"/>
      <c r="Q299" s="4"/>
      <c r="R299" s="52"/>
      <c r="S299" s="52"/>
      <c r="T299" s="52"/>
      <c r="U299" s="52"/>
      <c r="V299" s="52"/>
      <c r="W299" s="52"/>
      <c r="X299" s="52"/>
      <c r="Y299" s="52"/>
      <c r="Z299" s="52"/>
    </row>
    <row r="300">
      <c r="A300" s="11"/>
      <c r="B300" s="89"/>
      <c r="C300" s="11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69"/>
      <c r="Q300" s="4"/>
      <c r="R300" s="52"/>
      <c r="S300" s="52"/>
      <c r="T300" s="52"/>
      <c r="U300" s="52"/>
      <c r="V300" s="52"/>
      <c r="W300" s="52"/>
      <c r="X300" s="52"/>
      <c r="Y300" s="52"/>
      <c r="Z300" s="52"/>
    </row>
    <row r="301">
      <c r="A301" s="11"/>
      <c r="B301" s="89"/>
      <c r="C301" s="11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69"/>
      <c r="Q301" s="4"/>
      <c r="R301" s="52"/>
      <c r="S301" s="52"/>
      <c r="T301" s="52"/>
      <c r="U301" s="52"/>
      <c r="V301" s="52"/>
      <c r="W301" s="52"/>
      <c r="X301" s="52"/>
      <c r="Y301" s="52"/>
      <c r="Z301" s="52"/>
    </row>
    <row r="302">
      <c r="A302" s="11"/>
      <c r="B302" s="89"/>
      <c r="C302" s="11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69"/>
      <c r="Q302" s="4"/>
      <c r="R302" s="52"/>
      <c r="S302" s="52"/>
      <c r="T302" s="52"/>
      <c r="U302" s="52"/>
      <c r="V302" s="52"/>
      <c r="W302" s="52"/>
      <c r="X302" s="52"/>
      <c r="Y302" s="52"/>
      <c r="Z302" s="52"/>
    </row>
    <row r="303">
      <c r="A303" s="11"/>
      <c r="B303" s="89"/>
      <c r="C303" s="11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69"/>
      <c r="Q303" s="4"/>
      <c r="R303" s="52"/>
      <c r="S303" s="52"/>
      <c r="T303" s="52"/>
      <c r="U303" s="52"/>
      <c r="V303" s="52"/>
      <c r="W303" s="52"/>
      <c r="X303" s="52"/>
      <c r="Y303" s="52"/>
      <c r="Z303" s="52"/>
    </row>
    <row r="304">
      <c r="A304" s="11"/>
      <c r="B304" s="89"/>
      <c r="C304" s="11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69"/>
      <c r="Q304" s="4"/>
      <c r="R304" s="52"/>
      <c r="S304" s="52"/>
      <c r="T304" s="52"/>
      <c r="U304" s="52"/>
      <c r="V304" s="52"/>
      <c r="W304" s="52"/>
      <c r="X304" s="52"/>
      <c r="Y304" s="52"/>
      <c r="Z304" s="52"/>
    </row>
    <row r="305">
      <c r="A305" s="11"/>
      <c r="B305" s="89"/>
      <c r="C305" s="11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69"/>
      <c r="Q305" s="4"/>
      <c r="R305" s="52"/>
      <c r="S305" s="52"/>
      <c r="T305" s="52"/>
      <c r="U305" s="52"/>
      <c r="V305" s="52"/>
      <c r="W305" s="52"/>
      <c r="X305" s="52"/>
      <c r="Y305" s="52"/>
      <c r="Z305" s="52"/>
    </row>
    <row r="306">
      <c r="A306" s="11"/>
      <c r="B306" s="89"/>
      <c r="C306" s="11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69"/>
      <c r="Q306" s="4"/>
      <c r="R306" s="52"/>
      <c r="S306" s="52"/>
      <c r="T306" s="52"/>
      <c r="U306" s="52"/>
      <c r="V306" s="52"/>
      <c r="W306" s="52"/>
      <c r="X306" s="52"/>
      <c r="Y306" s="52"/>
      <c r="Z306" s="52"/>
    </row>
    <row r="307">
      <c r="A307" s="11"/>
      <c r="B307" s="89"/>
      <c r="C307" s="11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69"/>
      <c r="Q307" s="4"/>
      <c r="R307" s="52"/>
      <c r="S307" s="52"/>
      <c r="T307" s="52"/>
      <c r="U307" s="52"/>
      <c r="V307" s="52"/>
      <c r="W307" s="52"/>
      <c r="X307" s="52"/>
      <c r="Y307" s="52"/>
      <c r="Z307" s="52"/>
    </row>
    <row r="308">
      <c r="A308" s="11"/>
      <c r="B308" s="89"/>
      <c r="C308" s="11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69"/>
      <c r="Q308" s="4"/>
      <c r="R308" s="52"/>
      <c r="S308" s="52"/>
      <c r="T308" s="52"/>
      <c r="U308" s="52"/>
      <c r="V308" s="52"/>
      <c r="W308" s="52"/>
      <c r="X308" s="52"/>
      <c r="Y308" s="52"/>
      <c r="Z308" s="52"/>
    </row>
    <row r="309">
      <c r="A309" s="11"/>
      <c r="B309" s="89"/>
      <c r="C309" s="11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69"/>
      <c r="Q309" s="4"/>
      <c r="R309" s="52"/>
      <c r="S309" s="52"/>
      <c r="T309" s="52"/>
      <c r="U309" s="52"/>
      <c r="V309" s="52"/>
      <c r="W309" s="52"/>
      <c r="X309" s="52"/>
      <c r="Y309" s="52"/>
      <c r="Z309" s="52"/>
    </row>
    <row r="310">
      <c r="A310" s="11"/>
      <c r="B310" s="89"/>
      <c r="C310" s="11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69"/>
      <c r="Q310" s="4"/>
      <c r="R310" s="52"/>
      <c r="S310" s="52"/>
      <c r="T310" s="52"/>
      <c r="U310" s="52"/>
      <c r="V310" s="52"/>
      <c r="W310" s="52"/>
      <c r="X310" s="52"/>
      <c r="Y310" s="52"/>
      <c r="Z310" s="52"/>
    </row>
    <row r="311">
      <c r="A311" s="11"/>
      <c r="B311" s="89"/>
      <c r="C311" s="11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69"/>
      <c r="Q311" s="4"/>
      <c r="R311" s="52"/>
      <c r="S311" s="52"/>
      <c r="T311" s="52"/>
      <c r="U311" s="52"/>
      <c r="V311" s="52"/>
      <c r="W311" s="52"/>
      <c r="X311" s="52"/>
      <c r="Y311" s="52"/>
      <c r="Z311" s="52"/>
    </row>
    <row r="312">
      <c r="A312" s="11"/>
      <c r="B312" s="89"/>
      <c r="C312" s="11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69"/>
      <c r="Q312" s="4"/>
      <c r="R312" s="52"/>
      <c r="S312" s="52"/>
      <c r="T312" s="52"/>
      <c r="U312" s="52"/>
      <c r="V312" s="52"/>
      <c r="W312" s="52"/>
      <c r="X312" s="52"/>
      <c r="Y312" s="52"/>
      <c r="Z312" s="52"/>
    </row>
    <row r="313">
      <c r="A313" s="11"/>
      <c r="B313" s="89"/>
      <c r="C313" s="11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69"/>
      <c r="Q313" s="4"/>
      <c r="R313" s="52"/>
      <c r="S313" s="52"/>
      <c r="T313" s="52"/>
      <c r="U313" s="52"/>
      <c r="V313" s="52"/>
      <c r="W313" s="52"/>
      <c r="X313" s="52"/>
      <c r="Y313" s="52"/>
      <c r="Z313" s="52"/>
    </row>
    <row r="314">
      <c r="A314" s="11"/>
      <c r="B314" s="89"/>
      <c r="C314" s="11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69"/>
      <c r="Q314" s="4"/>
      <c r="R314" s="52"/>
      <c r="S314" s="52"/>
      <c r="T314" s="52"/>
      <c r="U314" s="52"/>
      <c r="V314" s="52"/>
      <c r="W314" s="52"/>
      <c r="X314" s="52"/>
      <c r="Y314" s="52"/>
      <c r="Z314" s="52"/>
    </row>
    <row r="315">
      <c r="A315" s="11"/>
      <c r="B315" s="89"/>
      <c r="C315" s="11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69"/>
      <c r="Q315" s="4"/>
      <c r="R315" s="52"/>
      <c r="S315" s="52"/>
      <c r="T315" s="52"/>
      <c r="U315" s="52"/>
      <c r="V315" s="52"/>
      <c r="W315" s="52"/>
      <c r="X315" s="52"/>
      <c r="Y315" s="52"/>
      <c r="Z315" s="52"/>
    </row>
    <row r="316">
      <c r="A316" s="11"/>
      <c r="B316" s="89"/>
      <c r="C316" s="11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69"/>
      <c r="Q316" s="4"/>
      <c r="R316" s="52"/>
      <c r="S316" s="52"/>
      <c r="T316" s="52"/>
      <c r="U316" s="52"/>
      <c r="V316" s="52"/>
      <c r="W316" s="52"/>
      <c r="X316" s="52"/>
      <c r="Y316" s="52"/>
      <c r="Z316" s="52"/>
    </row>
    <row r="317">
      <c r="A317" s="11"/>
      <c r="B317" s="89"/>
      <c r="C317" s="11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69"/>
      <c r="Q317" s="4"/>
      <c r="R317" s="52"/>
      <c r="S317" s="52"/>
      <c r="T317" s="52"/>
      <c r="U317" s="52"/>
      <c r="V317" s="52"/>
      <c r="W317" s="52"/>
      <c r="X317" s="52"/>
      <c r="Y317" s="52"/>
      <c r="Z317" s="52"/>
    </row>
    <row r="318">
      <c r="A318" s="11"/>
      <c r="B318" s="89"/>
      <c r="C318" s="11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69"/>
      <c r="Q318" s="4"/>
      <c r="R318" s="52"/>
      <c r="S318" s="52"/>
      <c r="T318" s="52"/>
      <c r="U318" s="52"/>
      <c r="V318" s="52"/>
      <c r="W318" s="52"/>
      <c r="X318" s="52"/>
      <c r="Y318" s="52"/>
      <c r="Z318" s="52"/>
    </row>
    <row r="319">
      <c r="A319" s="11"/>
      <c r="B319" s="89"/>
      <c r="C319" s="11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69"/>
      <c r="Q319" s="4"/>
      <c r="R319" s="52"/>
      <c r="S319" s="52"/>
      <c r="T319" s="52"/>
      <c r="U319" s="52"/>
      <c r="V319" s="52"/>
      <c r="W319" s="52"/>
      <c r="X319" s="52"/>
      <c r="Y319" s="52"/>
      <c r="Z319" s="52"/>
    </row>
    <row r="320">
      <c r="A320" s="11"/>
      <c r="B320" s="89"/>
      <c r="C320" s="11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69"/>
      <c r="Q320" s="4"/>
      <c r="R320" s="52"/>
      <c r="S320" s="52"/>
      <c r="T320" s="52"/>
      <c r="U320" s="52"/>
      <c r="V320" s="52"/>
      <c r="W320" s="52"/>
      <c r="X320" s="52"/>
      <c r="Y320" s="52"/>
      <c r="Z320" s="52"/>
    </row>
    <row r="321">
      <c r="A321" s="11"/>
      <c r="B321" s="89"/>
      <c r="C321" s="11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69"/>
      <c r="Q321" s="4"/>
      <c r="R321" s="52"/>
      <c r="S321" s="52"/>
      <c r="T321" s="52"/>
      <c r="U321" s="52"/>
      <c r="V321" s="52"/>
      <c r="W321" s="52"/>
      <c r="X321" s="52"/>
      <c r="Y321" s="52"/>
      <c r="Z321" s="52"/>
    </row>
    <row r="322">
      <c r="A322" s="11"/>
      <c r="B322" s="89"/>
      <c r="C322" s="11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69"/>
      <c r="Q322" s="4"/>
      <c r="R322" s="52"/>
      <c r="S322" s="52"/>
      <c r="T322" s="52"/>
      <c r="U322" s="52"/>
      <c r="V322" s="52"/>
      <c r="W322" s="52"/>
      <c r="X322" s="52"/>
      <c r="Y322" s="52"/>
      <c r="Z322" s="52"/>
    </row>
    <row r="323">
      <c r="A323" s="11"/>
      <c r="B323" s="89"/>
      <c r="C323" s="11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69"/>
      <c r="Q323" s="4"/>
      <c r="R323" s="52"/>
      <c r="S323" s="52"/>
      <c r="T323" s="52"/>
      <c r="U323" s="52"/>
      <c r="V323" s="52"/>
      <c r="W323" s="52"/>
      <c r="X323" s="52"/>
      <c r="Y323" s="52"/>
      <c r="Z323" s="52"/>
    </row>
    <row r="324">
      <c r="A324" s="11"/>
      <c r="B324" s="89"/>
      <c r="C324" s="11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69"/>
      <c r="Q324" s="4"/>
      <c r="R324" s="52"/>
      <c r="S324" s="52"/>
      <c r="T324" s="52"/>
      <c r="U324" s="52"/>
      <c r="V324" s="52"/>
      <c r="W324" s="52"/>
      <c r="X324" s="52"/>
      <c r="Y324" s="52"/>
      <c r="Z324" s="52"/>
    </row>
    <row r="325">
      <c r="A325" s="11"/>
      <c r="B325" s="89"/>
      <c r="C325" s="11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69"/>
      <c r="Q325" s="4"/>
      <c r="R325" s="52"/>
      <c r="S325" s="52"/>
      <c r="T325" s="52"/>
      <c r="U325" s="52"/>
      <c r="V325" s="52"/>
      <c r="W325" s="52"/>
      <c r="X325" s="52"/>
      <c r="Y325" s="52"/>
      <c r="Z325" s="52"/>
    </row>
    <row r="326">
      <c r="A326" s="11"/>
      <c r="B326" s="89"/>
      <c r="C326" s="11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69"/>
      <c r="Q326" s="4"/>
      <c r="R326" s="52"/>
      <c r="S326" s="52"/>
      <c r="T326" s="52"/>
      <c r="U326" s="52"/>
      <c r="V326" s="52"/>
      <c r="W326" s="52"/>
      <c r="X326" s="52"/>
      <c r="Y326" s="52"/>
      <c r="Z326" s="52"/>
    </row>
    <row r="327">
      <c r="A327" s="11"/>
      <c r="B327" s="89"/>
      <c r="C327" s="11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69"/>
      <c r="Q327" s="4"/>
      <c r="R327" s="52"/>
      <c r="S327" s="52"/>
      <c r="T327" s="52"/>
      <c r="U327" s="52"/>
      <c r="V327" s="52"/>
      <c r="W327" s="52"/>
      <c r="X327" s="52"/>
      <c r="Y327" s="52"/>
      <c r="Z327" s="52"/>
    </row>
    <row r="328">
      <c r="A328" s="11"/>
      <c r="B328" s="89"/>
      <c r="C328" s="11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69"/>
      <c r="Q328" s="4"/>
      <c r="R328" s="52"/>
      <c r="S328" s="52"/>
      <c r="T328" s="52"/>
      <c r="U328" s="52"/>
      <c r="V328" s="52"/>
      <c r="W328" s="52"/>
      <c r="X328" s="52"/>
      <c r="Y328" s="52"/>
      <c r="Z328" s="52"/>
    </row>
    <row r="329">
      <c r="A329" s="11"/>
      <c r="B329" s="89"/>
      <c r="C329" s="11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69"/>
      <c r="Q329" s="4"/>
      <c r="R329" s="52"/>
      <c r="S329" s="52"/>
      <c r="T329" s="52"/>
      <c r="U329" s="52"/>
      <c r="V329" s="52"/>
      <c r="W329" s="52"/>
      <c r="X329" s="52"/>
      <c r="Y329" s="52"/>
      <c r="Z329" s="52"/>
    </row>
    <row r="330">
      <c r="A330" s="11"/>
      <c r="B330" s="89"/>
      <c r="C330" s="11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69"/>
      <c r="Q330" s="4"/>
      <c r="R330" s="52"/>
      <c r="S330" s="52"/>
      <c r="T330" s="52"/>
      <c r="U330" s="52"/>
      <c r="V330" s="52"/>
      <c r="W330" s="52"/>
      <c r="X330" s="52"/>
      <c r="Y330" s="52"/>
      <c r="Z330" s="52"/>
    </row>
    <row r="331">
      <c r="A331" s="11"/>
      <c r="B331" s="89"/>
      <c r="C331" s="11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69"/>
      <c r="Q331" s="4"/>
      <c r="R331" s="52"/>
      <c r="S331" s="52"/>
      <c r="T331" s="52"/>
      <c r="U331" s="52"/>
      <c r="V331" s="52"/>
      <c r="W331" s="52"/>
      <c r="X331" s="52"/>
      <c r="Y331" s="52"/>
      <c r="Z331" s="52"/>
    </row>
    <row r="332">
      <c r="A332" s="11"/>
      <c r="B332" s="89"/>
      <c r="C332" s="11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69"/>
      <c r="Q332" s="4"/>
      <c r="R332" s="52"/>
      <c r="S332" s="52"/>
      <c r="T332" s="52"/>
      <c r="U332" s="52"/>
      <c r="V332" s="52"/>
      <c r="W332" s="52"/>
      <c r="X332" s="52"/>
      <c r="Y332" s="52"/>
      <c r="Z332" s="52"/>
    </row>
    <row r="333">
      <c r="A333" s="11"/>
      <c r="B333" s="89"/>
      <c r="C333" s="11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69"/>
      <c r="Q333" s="4"/>
      <c r="R333" s="52"/>
      <c r="S333" s="52"/>
      <c r="T333" s="52"/>
      <c r="U333" s="52"/>
      <c r="V333" s="52"/>
      <c r="W333" s="52"/>
      <c r="X333" s="52"/>
      <c r="Y333" s="52"/>
      <c r="Z333" s="52"/>
    </row>
    <row r="334">
      <c r="A334" s="11"/>
      <c r="B334" s="89"/>
      <c r="C334" s="11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69"/>
      <c r="Q334" s="4"/>
      <c r="R334" s="52"/>
      <c r="S334" s="52"/>
      <c r="T334" s="52"/>
      <c r="U334" s="52"/>
      <c r="V334" s="52"/>
      <c r="W334" s="52"/>
      <c r="X334" s="52"/>
      <c r="Y334" s="52"/>
      <c r="Z334" s="52"/>
    </row>
    <row r="335">
      <c r="A335" s="11"/>
      <c r="B335" s="89"/>
      <c r="C335" s="11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69"/>
      <c r="Q335" s="4"/>
      <c r="R335" s="52"/>
      <c r="S335" s="52"/>
      <c r="T335" s="52"/>
      <c r="U335" s="52"/>
      <c r="V335" s="52"/>
      <c r="W335" s="52"/>
      <c r="X335" s="52"/>
      <c r="Y335" s="52"/>
      <c r="Z335" s="52"/>
    </row>
    <row r="336">
      <c r="A336" s="11"/>
      <c r="B336" s="89"/>
      <c r="C336" s="11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69"/>
      <c r="Q336" s="4"/>
      <c r="R336" s="52"/>
      <c r="S336" s="52"/>
      <c r="T336" s="52"/>
      <c r="U336" s="52"/>
      <c r="V336" s="52"/>
      <c r="W336" s="52"/>
      <c r="X336" s="52"/>
      <c r="Y336" s="52"/>
      <c r="Z336" s="52"/>
    </row>
    <row r="337">
      <c r="A337" s="11"/>
      <c r="B337" s="89"/>
      <c r="C337" s="11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69"/>
      <c r="Q337" s="4"/>
      <c r="R337" s="52"/>
      <c r="S337" s="52"/>
      <c r="T337" s="52"/>
      <c r="U337" s="52"/>
      <c r="V337" s="52"/>
      <c r="W337" s="52"/>
      <c r="X337" s="52"/>
      <c r="Y337" s="52"/>
      <c r="Z337" s="52"/>
    </row>
    <row r="338">
      <c r="A338" s="11"/>
      <c r="B338" s="89"/>
      <c r="C338" s="11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69"/>
      <c r="Q338" s="4"/>
      <c r="R338" s="52"/>
      <c r="S338" s="52"/>
      <c r="T338" s="52"/>
      <c r="U338" s="52"/>
      <c r="V338" s="52"/>
      <c r="W338" s="52"/>
      <c r="X338" s="52"/>
      <c r="Y338" s="52"/>
      <c r="Z338" s="52"/>
    </row>
    <row r="339">
      <c r="A339" s="11"/>
      <c r="B339" s="89"/>
      <c r="C339" s="11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69"/>
      <c r="Q339" s="4"/>
      <c r="R339" s="52"/>
      <c r="S339" s="52"/>
      <c r="T339" s="52"/>
      <c r="U339" s="52"/>
      <c r="V339" s="52"/>
      <c r="W339" s="52"/>
      <c r="X339" s="52"/>
      <c r="Y339" s="52"/>
      <c r="Z339" s="52"/>
    </row>
    <row r="340">
      <c r="A340" s="11"/>
      <c r="B340" s="89"/>
      <c r="C340" s="11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69"/>
      <c r="Q340" s="4"/>
      <c r="R340" s="52"/>
      <c r="S340" s="52"/>
      <c r="T340" s="52"/>
      <c r="U340" s="52"/>
      <c r="V340" s="52"/>
      <c r="W340" s="52"/>
      <c r="X340" s="52"/>
      <c r="Y340" s="52"/>
      <c r="Z340" s="52"/>
    </row>
    <row r="341">
      <c r="A341" s="11"/>
      <c r="B341" s="89"/>
      <c r="C341" s="11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69"/>
      <c r="Q341" s="4"/>
      <c r="R341" s="52"/>
      <c r="S341" s="52"/>
      <c r="T341" s="52"/>
      <c r="U341" s="52"/>
      <c r="V341" s="52"/>
      <c r="W341" s="52"/>
      <c r="X341" s="52"/>
      <c r="Y341" s="52"/>
      <c r="Z341" s="52"/>
    </row>
    <row r="342">
      <c r="A342" s="11"/>
      <c r="B342" s="89"/>
      <c r="C342" s="11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69"/>
      <c r="Q342" s="4"/>
      <c r="R342" s="52"/>
      <c r="S342" s="52"/>
      <c r="T342" s="52"/>
      <c r="U342" s="52"/>
      <c r="V342" s="52"/>
      <c r="W342" s="52"/>
      <c r="X342" s="52"/>
      <c r="Y342" s="52"/>
      <c r="Z342" s="52"/>
    </row>
    <row r="343">
      <c r="A343" s="11"/>
      <c r="B343" s="89"/>
      <c r="C343" s="11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69"/>
      <c r="Q343" s="4"/>
      <c r="R343" s="52"/>
      <c r="S343" s="52"/>
      <c r="T343" s="52"/>
      <c r="U343" s="52"/>
      <c r="V343" s="52"/>
      <c r="W343" s="52"/>
      <c r="X343" s="52"/>
      <c r="Y343" s="52"/>
      <c r="Z343" s="52"/>
    </row>
    <row r="344">
      <c r="A344" s="11"/>
      <c r="B344" s="89"/>
      <c r="C344" s="11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69"/>
      <c r="Q344" s="4"/>
      <c r="R344" s="52"/>
      <c r="S344" s="52"/>
      <c r="T344" s="52"/>
      <c r="U344" s="52"/>
      <c r="V344" s="52"/>
      <c r="W344" s="52"/>
      <c r="X344" s="52"/>
      <c r="Y344" s="52"/>
      <c r="Z344" s="52"/>
    </row>
    <row r="345">
      <c r="A345" s="11"/>
      <c r="B345" s="89"/>
      <c r="C345" s="11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69"/>
      <c r="Q345" s="4"/>
      <c r="R345" s="52"/>
      <c r="S345" s="52"/>
      <c r="T345" s="52"/>
      <c r="U345" s="52"/>
      <c r="V345" s="52"/>
      <c r="W345" s="52"/>
      <c r="X345" s="52"/>
      <c r="Y345" s="52"/>
      <c r="Z345" s="52"/>
    </row>
    <row r="346">
      <c r="A346" s="11"/>
      <c r="B346" s="89"/>
      <c r="C346" s="11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69"/>
      <c r="Q346" s="4"/>
      <c r="R346" s="52"/>
      <c r="S346" s="52"/>
      <c r="T346" s="52"/>
      <c r="U346" s="52"/>
      <c r="V346" s="52"/>
      <c r="W346" s="52"/>
      <c r="X346" s="52"/>
      <c r="Y346" s="52"/>
      <c r="Z346" s="52"/>
    </row>
    <row r="347">
      <c r="A347" s="11"/>
      <c r="B347" s="89"/>
      <c r="C347" s="11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69"/>
      <c r="Q347" s="4"/>
      <c r="R347" s="52"/>
      <c r="S347" s="52"/>
      <c r="T347" s="52"/>
      <c r="U347" s="52"/>
      <c r="V347" s="52"/>
      <c r="W347" s="52"/>
      <c r="X347" s="52"/>
      <c r="Y347" s="52"/>
      <c r="Z347" s="52"/>
    </row>
    <row r="348">
      <c r="A348" s="11"/>
      <c r="B348" s="89"/>
      <c r="C348" s="11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69"/>
      <c r="Q348" s="4"/>
      <c r="R348" s="52"/>
      <c r="S348" s="52"/>
      <c r="T348" s="52"/>
      <c r="U348" s="52"/>
      <c r="V348" s="52"/>
      <c r="W348" s="52"/>
      <c r="X348" s="52"/>
      <c r="Y348" s="52"/>
      <c r="Z348" s="52"/>
    </row>
    <row r="349">
      <c r="A349" s="11"/>
      <c r="B349" s="89"/>
      <c r="C349" s="11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69"/>
      <c r="Q349" s="4"/>
      <c r="R349" s="52"/>
      <c r="S349" s="52"/>
      <c r="T349" s="52"/>
      <c r="U349" s="52"/>
      <c r="V349" s="52"/>
      <c r="W349" s="52"/>
      <c r="X349" s="52"/>
      <c r="Y349" s="52"/>
      <c r="Z349" s="52"/>
    </row>
    <row r="350">
      <c r="A350" s="11"/>
      <c r="B350" s="89"/>
      <c r="C350" s="11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69"/>
      <c r="Q350" s="4"/>
      <c r="R350" s="52"/>
      <c r="S350" s="52"/>
      <c r="T350" s="52"/>
      <c r="U350" s="52"/>
      <c r="V350" s="52"/>
      <c r="W350" s="52"/>
      <c r="X350" s="52"/>
      <c r="Y350" s="52"/>
      <c r="Z350" s="52"/>
    </row>
    <row r="351">
      <c r="A351" s="11"/>
      <c r="B351" s="89"/>
      <c r="C351" s="11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69"/>
      <c r="Q351" s="4"/>
      <c r="R351" s="52"/>
      <c r="S351" s="52"/>
      <c r="T351" s="52"/>
      <c r="U351" s="52"/>
      <c r="V351" s="52"/>
      <c r="W351" s="52"/>
      <c r="X351" s="52"/>
      <c r="Y351" s="52"/>
      <c r="Z351" s="52"/>
    </row>
    <row r="352">
      <c r="A352" s="11"/>
      <c r="B352" s="89"/>
      <c r="C352" s="11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69"/>
      <c r="Q352" s="4"/>
      <c r="R352" s="52"/>
      <c r="S352" s="52"/>
      <c r="T352" s="52"/>
      <c r="U352" s="52"/>
      <c r="V352" s="52"/>
      <c r="W352" s="52"/>
      <c r="X352" s="52"/>
      <c r="Y352" s="52"/>
      <c r="Z352" s="52"/>
    </row>
    <row r="353">
      <c r="A353" s="11"/>
      <c r="B353" s="89"/>
      <c r="C353" s="11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69"/>
      <c r="Q353" s="4"/>
      <c r="R353" s="52"/>
      <c r="S353" s="52"/>
      <c r="T353" s="52"/>
      <c r="U353" s="52"/>
      <c r="V353" s="52"/>
      <c r="W353" s="52"/>
      <c r="X353" s="52"/>
      <c r="Y353" s="52"/>
      <c r="Z353" s="52"/>
    </row>
    <row r="354">
      <c r="A354" s="11"/>
      <c r="B354" s="89"/>
      <c r="C354" s="11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69"/>
      <c r="Q354" s="4"/>
      <c r="R354" s="52"/>
      <c r="S354" s="52"/>
      <c r="T354" s="52"/>
      <c r="U354" s="52"/>
      <c r="V354" s="52"/>
      <c r="W354" s="52"/>
      <c r="X354" s="52"/>
      <c r="Y354" s="52"/>
      <c r="Z354" s="52"/>
    </row>
    <row r="355">
      <c r="A355" s="11"/>
      <c r="B355" s="89"/>
      <c r="C355" s="11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69"/>
      <c r="Q355" s="4"/>
      <c r="R355" s="52"/>
      <c r="S355" s="52"/>
      <c r="T355" s="52"/>
      <c r="U355" s="52"/>
      <c r="V355" s="52"/>
      <c r="W355" s="52"/>
      <c r="X355" s="52"/>
      <c r="Y355" s="52"/>
      <c r="Z355" s="52"/>
    </row>
    <row r="356">
      <c r="A356" s="11"/>
      <c r="B356" s="89"/>
      <c r="C356" s="11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69"/>
      <c r="Q356" s="4"/>
      <c r="R356" s="52"/>
      <c r="S356" s="52"/>
      <c r="T356" s="52"/>
      <c r="U356" s="52"/>
      <c r="V356" s="52"/>
      <c r="W356" s="52"/>
      <c r="X356" s="52"/>
      <c r="Y356" s="52"/>
      <c r="Z356" s="52"/>
    </row>
    <row r="357">
      <c r="A357" s="11"/>
      <c r="B357" s="89"/>
      <c r="C357" s="11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69"/>
      <c r="Q357" s="4"/>
      <c r="R357" s="52"/>
      <c r="S357" s="52"/>
      <c r="T357" s="52"/>
      <c r="U357" s="52"/>
      <c r="V357" s="52"/>
      <c r="W357" s="52"/>
      <c r="X357" s="52"/>
      <c r="Y357" s="52"/>
      <c r="Z357" s="52"/>
    </row>
    <row r="358">
      <c r="A358" s="11"/>
      <c r="B358" s="89"/>
      <c r="C358" s="11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69"/>
      <c r="Q358" s="4"/>
      <c r="R358" s="52"/>
      <c r="S358" s="52"/>
      <c r="T358" s="52"/>
      <c r="U358" s="52"/>
      <c r="V358" s="52"/>
      <c r="W358" s="52"/>
      <c r="X358" s="52"/>
      <c r="Y358" s="52"/>
      <c r="Z358" s="52"/>
    </row>
    <row r="359">
      <c r="A359" s="11"/>
      <c r="B359" s="89"/>
      <c r="C359" s="11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69"/>
      <c r="Q359" s="4"/>
      <c r="R359" s="52"/>
      <c r="S359" s="52"/>
      <c r="T359" s="52"/>
      <c r="U359" s="52"/>
      <c r="V359" s="52"/>
      <c r="W359" s="52"/>
      <c r="X359" s="52"/>
      <c r="Y359" s="52"/>
      <c r="Z359" s="52"/>
    </row>
    <row r="360">
      <c r="A360" s="11"/>
      <c r="B360" s="89"/>
      <c r="C360" s="11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69"/>
      <c r="Q360" s="4"/>
      <c r="R360" s="52"/>
      <c r="S360" s="52"/>
      <c r="T360" s="52"/>
      <c r="U360" s="52"/>
      <c r="V360" s="52"/>
      <c r="W360" s="52"/>
      <c r="X360" s="52"/>
      <c r="Y360" s="52"/>
      <c r="Z360" s="52"/>
    </row>
    <row r="361">
      <c r="A361" s="11"/>
      <c r="B361" s="89"/>
      <c r="C361" s="11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69"/>
      <c r="Q361" s="4"/>
      <c r="R361" s="52"/>
      <c r="S361" s="52"/>
      <c r="T361" s="52"/>
      <c r="U361" s="52"/>
      <c r="V361" s="52"/>
      <c r="W361" s="52"/>
      <c r="X361" s="52"/>
      <c r="Y361" s="52"/>
      <c r="Z361" s="52"/>
    </row>
    <row r="362">
      <c r="A362" s="11"/>
      <c r="B362" s="89"/>
      <c r="C362" s="11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69"/>
      <c r="Q362" s="4"/>
      <c r="R362" s="52"/>
      <c r="S362" s="52"/>
      <c r="T362" s="52"/>
      <c r="U362" s="52"/>
      <c r="V362" s="52"/>
      <c r="W362" s="52"/>
      <c r="X362" s="52"/>
      <c r="Y362" s="52"/>
      <c r="Z362" s="52"/>
    </row>
    <row r="363">
      <c r="A363" s="11"/>
      <c r="B363" s="89"/>
      <c r="C363" s="11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69"/>
      <c r="Q363" s="4"/>
      <c r="R363" s="52"/>
      <c r="S363" s="52"/>
      <c r="T363" s="52"/>
      <c r="U363" s="52"/>
      <c r="V363" s="52"/>
      <c r="W363" s="52"/>
      <c r="X363" s="52"/>
      <c r="Y363" s="52"/>
      <c r="Z363" s="52"/>
    </row>
    <row r="364">
      <c r="A364" s="11"/>
      <c r="B364" s="89"/>
      <c r="C364" s="11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69"/>
      <c r="Q364" s="4"/>
      <c r="R364" s="52"/>
      <c r="S364" s="52"/>
      <c r="T364" s="52"/>
      <c r="U364" s="52"/>
      <c r="V364" s="52"/>
      <c r="W364" s="52"/>
      <c r="X364" s="52"/>
      <c r="Y364" s="52"/>
      <c r="Z364" s="52"/>
    </row>
    <row r="365">
      <c r="A365" s="11"/>
      <c r="B365" s="89"/>
      <c r="C365" s="11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69"/>
      <c r="Q365" s="4"/>
      <c r="R365" s="52"/>
      <c r="S365" s="52"/>
      <c r="T365" s="52"/>
      <c r="U365" s="52"/>
      <c r="V365" s="52"/>
      <c r="W365" s="52"/>
      <c r="X365" s="52"/>
      <c r="Y365" s="52"/>
      <c r="Z365" s="52"/>
    </row>
    <row r="366">
      <c r="A366" s="11"/>
      <c r="B366" s="89"/>
      <c r="C366" s="11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69"/>
      <c r="Q366" s="4"/>
      <c r="R366" s="52"/>
      <c r="S366" s="52"/>
      <c r="T366" s="52"/>
      <c r="U366" s="52"/>
      <c r="V366" s="52"/>
      <c r="W366" s="52"/>
      <c r="X366" s="52"/>
      <c r="Y366" s="52"/>
      <c r="Z366" s="52"/>
    </row>
    <row r="367">
      <c r="A367" s="11"/>
      <c r="B367" s="89"/>
      <c r="C367" s="11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69"/>
      <c r="Q367" s="4"/>
      <c r="R367" s="52"/>
      <c r="S367" s="52"/>
      <c r="T367" s="52"/>
      <c r="U367" s="52"/>
      <c r="V367" s="52"/>
      <c r="W367" s="52"/>
      <c r="X367" s="52"/>
      <c r="Y367" s="52"/>
      <c r="Z367" s="52"/>
    </row>
    <row r="368">
      <c r="A368" s="11"/>
      <c r="B368" s="89"/>
      <c r="C368" s="11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69"/>
      <c r="Q368" s="4"/>
      <c r="R368" s="52"/>
      <c r="S368" s="52"/>
      <c r="T368" s="52"/>
      <c r="U368" s="52"/>
      <c r="V368" s="52"/>
      <c r="W368" s="52"/>
      <c r="X368" s="52"/>
      <c r="Y368" s="52"/>
      <c r="Z368" s="52"/>
    </row>
    <row r="369">
      <c r="A369" s="11"/>
      <c r="B369" s="89"/>
      <c r="C369" s="11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69"/>
      <c r="Q369" s="4"/>
      <c r="R369" s="52"/>
      <c r="S369" s="52"/>
      <c r="T369" s="52"/>
      <c r="U369" s="52"/>
      <c r="V369" s="52"/>
      <c r="W369" s="52"/>
      <c r="X369" s="52"/>
      <c r="Y369" s="52"/>
      <c r="Z369" s="52"/>
    </row>
    <row r="370">
      <c r="A370" s="11"/>
      <c r="B370" s="89"/>
      <c r="C370" s="11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69"/>
      <c r="Q370" s="4"/>
      <c r="R370" s="52"/>
      <c r="S370" s="52"/>
      <c r="T370" s="52"/>
      <c r="U370" s="52"/>
      <c r="V370" s="52"/>
      <c r="W370" s="52"/>
      <c r="X370" s="52"/>
      <c r="Y370" s="52"/>
      <c r="Z370" s="52"/>
    </row>
    <row r="371">
      <c r="A371" s="11"/>
      <c r="B371" s="89"/>
      <c r="C371" s="11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69"/>
      <c r="Q371" s="4"/>
      <c r="R371" s="52"/>
      <c r="S371" s="52"/>
      <c r="T371" s="52"/>
      <c r="U371" s="52"/>
      <c r="V371" s="52"/>
      <c r="W371" s="52"/>
      <c r="X371" s="52"/>
      <c r="Y371" s="52"/>
      <c r="Z371" s="52"/>
    </row>
    <row r="372">
      <c r="A372" s="11"/>
      <c r="B372" s="89"/>
      <c r="C372" s="11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69"/>
      <c r="Q372" s="4"/>
      <c r="R372" s="52"/>
      <c r="S372" s="52"/>
      <c r="T372" s="52"/>
      <c r="U372" s="52"/>
      <c r="V372" s="52"/>
      <c r="W372" s="52"/>
      <c r="X372" s="52"/>
      <c r="Y372" s="52"/>
      <c r="Z372" s="52"/>
    </row>
    <row r="373">
      <c r="A373" s="11"/>
      <c r="B373" s="89"/>
      <c r="C373" s="11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69"/>
      <c r="Q373" s="4"/>
      <c r="R373" s="52"/>
      <c r="S373" s="52"/>
      <c r="T373" s="52"/>
      <c r="U373" s="52"/>
      <c r="V373" s="52"/>
      <c r="W373" s="52"/>
      <c r="X373" s="52"/>
      <c r="Y373" s="52"/>
      <c r="Z373" s="52"/>
    </row>
    <row r="374">
      <c r="A374" s="11"/>
      <c r="B374" s="89"/>
      <c r="C374" s="11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69"/>
      <c r="Q374" s="4"/>
      <c r="R374" s="52"/>
      <c r="S374" s="52"/>
      <c r="T374" s="52"/>
      <c r="U374" s="52"/>
      <c r="V374" s="52"/>
      <c r="W374" s="52"/>
      <c r="X374" s="52"/>
      <c r="Y374" s="52"/>
      <c r="Z374" s="52"/>
    </row>
    <row r="375">
      <c r="A375" s="11"/>
      <c r="B375" s="89"/>
      <c r="C375" s="11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69"/>
      <c r="Q375" s="4"/>
      <c r="R375" s="52"/>
      <c r="S375" s="52"/>
      <c r="T375" s="52"/>
      <c r="U375" s="52"/>
      <c r="V375" s="52"/>
      <c r="W375" s="52"/>
      <c r="X375" s="52"/>
      <c r="Y375" s="52"/>
      <c r="Z375" s="52"/>
    </row>
    <row r="376">
      <c r="A376" s="11"/>
      <c r="B376" s="89"/>
      <c r="C376" s="11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69"/>
      <c r="Q376" s="4"/>
      <c r="R376" s="52"/>
      <c r="S376" s="52"/>
      <c r="T376" s="52"/>
      <c r="U376" s="52"/>
      <c r="V376" s="52"/>
      <c r="W376" s="52"/>
      <c r="X376" s="52"/>
      <c r="Y376" s="52"/>
      <c r="Z376" s="52"/>
    </row>
    <row r="377">
      <c r="A377" s="11"/>
      <c r="B377" s="89"/>
      <c r="C377" s="11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69"/>
      <c r="Q377" s="4"/>
      <c r="R377" s="52"/>
      <c r="S377" s="52"/>
      <c r="T377" s="52"/>
      <c r="U377" s="52"/>
      <c r="V377" s="52"/>
      <c r="W377" s="52"/>
      <c r="X377" s="52"/>
      <c r="Y377" s="52"/>
      <c r="Z377" s="52"/>
    </row>
    <row r="378">
      <c r="A378" s="11"/>
      <c r="B378" s="89"/>
      <c r="C378" s="11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69"/>
      <c r="Q378" s="4"/>
      <c r="R378" s="52"/>
      <c r="S378" s="52"/>
      <c r="T378" s="52"/>
      <c r="U378" s="52"/>
      <c r="V378" s="52"/>
      <c r="W378" s="52"/>
      <c r="X378" s="52"/>
      <c r="Y378" s="52"/>
      <c r="Z378" s="52"/>
    </row>
    <row r="379">
      <c r="A379" s="11"/>
      <c r="B379" s="89"/>
      <c r="C379" s="11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69"/>
      <c r="Q379" s="4"/>
      <c r="R379" s="52"/>
      <c r="S379" s="52"/>
      <c r="T379" s="52"/>
      <c r="U379" s="52"/>
      <c r="V379" s="52"/>
      <c r="W379" s="52"/>
      <c r="X379" s="52"/>
      <c r="Y379" s="52"/>
      <c r="Z379" s="52"/>
    </row>
    <row r="380">
      <c r="A380" s="11"/>
      <c r="B380" s="89"/>
      <c r="C380" s="11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69"/>
      <c r="Q380" s="4"/>
      <c r="R380" s="52"/>
      <c r="S380" s="52"/>
      <c r="T380" s="52"/>
      <c r="U380" s="52"/>
      <c r="V380" s="52"/>
      <c r="W380" s="52"/>
      <c r="X380" s="52"/>
      <c r="Y380" s="52"/>
      <c r="Z380" s="52"/>
    </row>
    <row r="381">
      <c r="A381" s="11"/>
      <c r="B381" s="89"/>
      <c r="C381" s="11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69"/>
      <c r="Q381" s="4"/>
      <c r="R381" s="52"/>
      <c r="S381" s="52"/>
      <c r="T381" s="52"/>
      <c r="U381" s="52"/>
      <c r="V381" s="52"/>
      <c r="W381" s="52"/>
      <c r="X381" s="52"/>
      <c r="Y381" s="52"/>
      <c r="Z381" s="52"/>
    </row>
    <row r="382">
      <c r="A382" s="11"/>
      <c r="B382" s="89"/>
      <c r="C382" s="11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69"/>
      <c r="Q382" s="4"/>
      <c r="R382" s="52"/>
      <c r="S382" s="52"/>
      <c r="T382" s="52"/>
      <c r="U382" s="52"/>
      <c r="V382" s="52"/>
      <c r="W382" s="52"/>
      <c r="X382" s="52"/>
      <c r="Y382" s="52"/>
      <c r="Z382" s="52"/>
    </row>
    <row r="383">
      <c r="A383" s="11"/>
      <c r="B383" s="89"/>
      <c r="C383" s="11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69"/>
      <c r="Q383" s="4"/>
      <c r="R383" s="52"/>
      <c r="S383" s="52"/>
      <c r="T383" s="52"/>
      <c r="U383" s="52"/>
      <c r="V383" s="52"/>
      <c r="W383" s="52"/>
      <c r="X383" s="52"/>
      <c r="Y383" s="52"/>
      <c r="Z383" s="52"/>
    </row>
    <row r="384">
      <c r="A384" s="11"/>
      <c r="B384" s="89"/>
      <c r="C384" s="11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69"/>
      <c r="Q384" s="4"/>
      <c r="R384" s="52"/>
      <c r="S384" s="52"/>
      <c r="T384" s="52"/>
      <c r="U384" s="52"/>
      <c r="V384" s="52"/>
      <c r="W384" s="52"/>
      <c r="X384" s="52"/>
      <c r="Y384" s="52"/>
      <c r="Z384" s="52"/>
    </row>
    <row r="385">
      <c r="A385" s="11"/>
      <c r="B385" s="89"/>
      <c r="C385" s="11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69"/>
      <c r="Q385" s="4"/>
      <c r="R385" s="52"/>
      <c r="S385" s="52"/>
      <c r="T385" s="52"/>
      <c r="U385" s="52"/>
      <c r="V385" s="52"/>
      <c r="W385" s="52"/>
      <c r="X385" s="52"/>
      <c r="Y385" s="52"/>
      <c r="Z385" s="52"/>
    </row>
    <row r="386">
      <c r="A386" s="11"/>
      <c r="B386" s="89"/>
      <c r="C386" s="11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69"/>
      <c r="Q386" s="4"/>
      <c r="R386" s="52"/>
      <c r="S386" s="52"/>
      <c r="T386" s="52"/>
      <c r="U386" s="52"/>
      <c r="V386" s="52"/>
      <c r="W386" s="52"/>
      <c r="X386" s="52"/>
      <c r="Y386" s="52"/>
      <c r="Z386" s="52"/>
    </row>
    <row r="387">
      <c r="A387" s="11"/>
      <c r="B387" s="89"/>
      <c r="C387" s="11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69"/>
      <c r="Q387" s="4"/>
      <c r="R387" s="52"/>
      <c r="S387" s="52"/>
      <c r="T387" s="52"/>
      <c r="U387" s="52"/>
      <c r="V387" s="52"/>
      <c r="W387" s="52"/>
      <c r="X387" s="52"/>
      <c r="Y387" s="52"/>
      <c r="Z387" s="52"/>
    </row>
    <row r="388">
      <c r="A388" s="11"/>
      <c r="B388" s="89"/>
      <c r="C388" s="11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69"/>
      <c r="Q388" s="4"/>
      <c r="R388" s="52"/>
      <c r="S388" s="52"/>
      <c r="T388" s="52"/>
      <c r="U388" s="52"/>
      <c r="V388" s="52"/>
      <c r="W388" s="52"/>
      <c r="X388" s="52"/>
      <c r="Y388" s="52"/>
      <c r="Z388" s="52"/>
    </row>
    <row r="389">
      <c r="A389" s="11"/>
      <c r="B389" s="89"/>
      <c r="C389" s="11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69"/>
      <c r="Q389" s="4"/>
      <c r="R389" s="52"/>
      <c r="S389" s="52"/>
      <c r="T389" s="52"/>
      <c r="U389" s="52"/>
      <c r="V389" s="52"/>
      <c r="W389" s="52"/>
      <c r="X389" s="52"/>
      <c r="Y389" s="52"/>
      <c r="Z389" s="52"/>
    </row>
    <row r="390">
      <c r="A390" s="11"/>
      <c r="B390" s="89"/>
      <c r="C390" s="11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69"/>
      <c r="Q390" s="4"/>
      <c r="R390" s="52"/>
      <c r="S390" s="52"/>
      <c r="T390" s="52"/>
      <c r="U390" s="52"/>
      <c r="V390" s="52"/>
      <c r="W390" s="52"/>
      <c r="X390" s="52"/>
      <c r="Y390" s="52"/>
      <c r="Z390" s="52"/>
    </row>
    <row r="391">
      <c r="A391" s="11"/>
      <c r="B391" s="89"/>
      <c r="C391" s="11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69"/>
      <c r="Q391" s="4"/>
      <c r="R391" s="52"/>
      <c r="S391" s="52"/>
      <c r="T391" s="52"/>
      <c r="U391" s="52"/>
      <c r="V391" s="52"/>
      <c r="W391" s="52"/>
      <c r="X391" s="52"/>
      <c r="Y391" s="52"/>
      <c r="Z391" s="52"/>
    </row>
    <row r="392">
      <c r="A392" s="11"/>
      <c r="B392" s="89"/>
      <c r="C392" s="11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69"/>
      <c r="Q392" s="4"/>
      <c r="R392" s="52"/>
      <c r="S392" s="52"/>
      <c r="T392" s="52"/>
      <c r="U392" s="52"/>
      <c r="V392" s="52"/>
      <c r="W392" s="52"/>
      <c r="X392" s="52"/>
      <c r="Y392" s="52"/>
      <c r="Z392" s="52"/>
    </row>
    <row r="393">
      <c r="A393" s="11"/>
      <c r="B393" s="89"/>
      <c r="C393" s="11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69"/>
      <c r="Q393" s="4"/>
      <c r="R393" s="52"/>
      <c r="S393" s="52"/>
      <c r="T393" s="52"/>
      <c r="U393" s="52"/>
      <c r="V393" s="52"/>
      <c r="W393" s="52"/>
      <c r="X393" s="52"/>
      <c r="Y393" s="52"/>
      <c r="Z393" s="52"/>
    </row>
    <row r="394">
      <c r="A394" s="11"/>
      <c r="B394" s="89"/>
      <c r="C394" s="11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69"/>
      <c r="Q394" s="4"/>
      <c r="R394" s="52"/>
      <c r="S394" s="52"/>
      <c r="T394" s="52"/>
      <c r="U394" s="52"/>
      <c r="V394" s="52"/>
      <c r="W394" s="52"/>
      <c r="X394" s="52"/>
      <c r="Y394" s="52"/>
      <c r="Z394" s="52"/>
    </row>
    <row r="395">
      <c r="A395" s="11"/>
      <c r="B395" s="89"/>
      <c r="C395" s="11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69"/>
      <c r="Q395" s="4"/>
      <c r="R395" s="52"/>
      <c r="S395" s="52"/>
      <c r="T395" s="52"/>
      <c r="U395" s="52"/>
      <c r="V395" s="52"/>
      <c r="W395" s="52"/>
      <c r="X395" s="52"/>
      <c r="Y395" s="52"/>
      <c r="Z395" s="52"/>
    </row>
    <row r="396">
      <c r="A396" s="11"/>
      <c r="B396" s="89"/>
      <c r="C396" s="11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69"/>
      <c r="Q396" s="4"/>
      <c r="R396" s="52"/>
      <c r="S396" s="52"/>
      <c r="T396" s="52"/>
      <c r="U396" s="52"/>
      <c r="V396" s="52"/>
      <c r="W396" s="52"/>
      <c r="X396" s="52"/>
      <c r="Y396" s="52"/>
      <c r="Z396" s="52"/>
    </row>
    <row r="397">
      <c r="A397" s="11"/>
      <c r="B397" s="89"/>
      <c r="C397" s="11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69"/>
      <c r="Q397" s="4"/>
      <c r="R397" s="52"/>
      <c r="S397" s="52"/>
      <c r="T397" s="52"/>
      <c r="U397" s="52"/>
      <c r="V397" s="52"/>
      <c r="W397" s="52"/>
      <c r="X397" s="52"/>
      <c r="Y397" s="52"/>
      <c r="Z397" s="52"/>
    </row>
    <row r="398">
      <c r="A398" s="11"/>
      <c r="B398" s="89"/>
      <c r="C398" s="11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69"/>
      <c r="Q398" s="4"/>
      <c r="R398" s="52"/>
      <c r="S398" s="52"/>
      <c r="T398" s="52"/>
      <c r="U398" s="52"/>
      <c r="V398" s="52"/>
      <c r="W398" s="52"/>
      <c r="X398" s="52"/>
      <c r="Y398" s="52"/>
      <c r="Z398" s="52"/>
    </row>
    <row r="399">
      <c r="A399" s="11"/>
      <c r="B399" s="89"/>
      <c r="C399" s="11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69"/>
      <c r="Q399" s="4"/>
      <c r="R399" s="52"/>
      <c r="S399" s="52"/>
      <c r="T399" s="52"/>
      <c r="U399" s="52"/>
      <c r="V399" s="52"/>
      <c r="W399" s="52"/>
      <c r="X399" s="52"/>
      <c r="Y399" s="52"/>
      <c r="Z399" s="52"/>
    </row>
    <row r="400">
      <c r="A400" s="11"/>
      <c r="B400" s="89"/>
      <c r="C400" s="11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69"/>
      <c r="Q400" s="4"/>
      <c r="R400" s="52"/>
      <c r="S400" s="52"/>
      <c r="T400" s="52"/>
      <c r="U400" s="52"/>
      <c r="V400" s="52"/>
      <c r="W400" s="52"/>
      <c r="X400" s="52"/>
      <c r="Y400" s="52"/>
      <c r="Z400" s="52"/>
    </row>
    <row r="401">
      <c r="A401" s="11"/>
      <c r="B401" s="89"/>
      <c r="C401" s="11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69"/>
      <c r="Q401" s="4"/>
      <c r="R401" s="52"/>
      <c r="S401" s="52"/>
      <c r="T401" s="52"/>
      <c r="U401" s="52"/>
      <c r="V401" s="52"/>
      <c r="W401" s="52"/>
      <c r="X401" s="52"/>
      <c r="Y401" s="52"/>
      <c r="Z401" s="52"/>
    </row>
    <row r="402">
      <c r="A402" s="11"/>
      <c r="B402" s="89"/>
      <c r="C402" s="11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69"/>
      <c r="Q402" s="4"/>
      <c r="R402" s="52"/>
      <c r="S402" s="52"/>
      <c r="T402" s="52"/>
      <c r="U402" s="52"/>
      <c r="V402" s="52"/>
      <c r="W402" s="52"/>
      <c r="X402" s="52"/>
      <c r="Y402" s="52"/>
      <c r="Z402" s="52"/>
    </row>
    <row r="403">
      <c r="A403" s="11"/>
      <c r="B403" s="89"/>
      <c r="C403" s="11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69"/>
      <c r="Q403" s="4"/>
      <c r="R403" s="52"/>
      <c r="S403" s="52"/>
      <c r="T403" s="52"/>
      <c r="U403" s="52"/>
      <c r="V403" s="52"/>
      <c r="W403" s="52"/>
      <c r="X403" s="52"/>
      <c r="Y403" s="52"/>
      <c r="Z403" s="52"/>
    </row>
    <row r="404">
      <c r="A404" s="11"/>
      <c r="B404" s="89"/>
      <c r="C404" s="11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69"/>
      <c r="Q404" s="4"/>
      <c r="R404" s="52"/>
      <c r="S404" s="52"/>
      <c r="T404" s="52"/>
      <c r="U404" s="52"/>
      <c r="V404" s="52"/>
      <c r="W404" s="52"/>
      <c r="X404" s="52"/>
      <c r="Y404" s="52"/>
      <c r="Z404" s="52"/>
    </row>
    <row r="405">
      <c r="A405" s="11"/>
      <c r="B405" s="89"/>
      <c r="C405" s="11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69"/>
      <c r="Q405" s="4"/>
      <c r="R405" s="52"/>
      <c r="S405" s="52"/>
      <c r="T405" s="52"/>
      <c r="U405" s="52"/>
      <c r="V405" s="52"/>
      <c r="W405" s="52"/>
      <c r="X405" s="52"/>
      <c r="Y405" s="52"/>
      <c r="Z405" s="52"/>
    </row>
    <row r="406">
      <c r="A406" s="11"/>
      <c r="B406" s="89"/>
      <c r="C406" s="11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69"/>
      <c r="Q406" s="4"/>
      <c r="R406" s="52"/>
      <c r="S406" s="52"/>
      <c r="T406" s="52"/>
      <c r="U406" s="52"/>
      <c r="V406" s="52"/>
      <c r="W406" s="52"/>
      <c r="X406" s="52"/>
      <c r="Y406" s="52"/>
      <c r="Z406" s="52"/>
    </row>
    <row r="407">
      <c r="A407" s="11"/>
      <c r="B407" s="89"/>
      <c r="C407" s="11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69"/>
      <c r="Q407" s="4"/>
      <c r="R407" s="52"/>
      <c r="S407" s="52"/>
      <c r="T407" s="52"/>
      <c r="U407" s="52"/>
      <c r="V407" s="52"/>
      <c r="W407" s="52"/>
      <c r="X407" s="52"/>
      <c r="Y407" s="52"/>
      <c r="Z407" s="52"/>
    </row>
    <row r="408">
      <c r="A408" s="11"/>
      <c r="B408" s="89"/>
      <c r="C408" s="11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69"/>
      <c r="Q408" s="4"/>
      <c r="R408" s="52"/>
      <c r="S408" s="52"/>
      <c r="T408" s="52"/>
      <c r="U408" s="52"/>
      <c r="V408" s="52"/>
      <c r="W408" s="52"/>
      <c r="X408" s="52"/>
      <c r="Y408" s="52"/>
      <c r="Z408" s="52"/>
    </row>
    <row r="409">
      <c r="A409" s="11"/>
      <c r="B409" s="89"/>
      <c r="C409" s="11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69"/>
      <c r="Q409" s="4"/>
      <c r="R409" s="52"/>
      <c r="S409" s="52"/>
      <c r="T409" s="52"/>
      <c r="U409" s="52"/>
      <c r="V409" s="52"/>
      <c r="W409" s="52"/>
      <c r="X409" s="52"/>
      <c r="Y409" s="52"/>
      <c r="Z409" s="52"/>
    </row>
    <row r="410">
      <c r="A410" s="11"/>
      <c r="B410" s="89"/>
      <c r="C410" s="11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69"/>
      <c r="Q410" s="4"/>
      <c r="R410" s="52"/>
      <c r="S410" s="52"/>
      <c r="T410" s="52"/>
      <c r="U410" s="52"/>
      <c r="V410" s="52"/>
      <c r="W410" s="52"/>
      <c r="X410" s="52"/>
      <c r="Y410" s="52"/>
      <c r="Z410" s="52"/>
    </row>
    <row r="411">
      <c r="A411" s="11"/>
      <c r="B411" s="89"/>
      <c r="C411" s="11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69"/>
      <c r="Q411" s="4"/>
      <c r="R411" s="52"/>
      <c r="S411" s="52"/>
      <c r="T411" s="52"/>
      <c r="U411" s="52"/>
      <c r="V411" s="52"/>
      <c r="W411" s="52"/>
      <c r="X411" s="52"/>
      <c r="Y411" s="52"/>
      <c r="Z411" s="52"/>
    </row>
    <row r="412">
      <c r="A412" s="11"/>
      <c r="B412" s="89"/>
      <c r="C412" s="11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69"/>
      <c r="Q412" s="4"/>
      <c r="R412" s="52"/>
      <c r="S412" s="52"/>
      <c r="T412" s="52"/>
      <c r="U412" s="52"/>
      <c r="V412" s="52"/>
      <c r="W412" s="52"/>
      <c r="X412" s="52"/>
      <c r="Y412" s="52"/>
      <c r="Z412" s="52"/>
    </row>
    <row r="413">
      <c r="A413" s="11"/>
      <c r="B413" s="89"/>
      <c r="C413" s="11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69"/>
      <c r="Q413" s="4"/>
      <c r="R413" s="52"/>
      <c r="S413" s="52"/>
      <c r="T413" s="52"/>
      <c r="U413" s="52"/>
      <c r="V413" s="52"/>
      <c r="W413" s="52"/>
      <c r="X413" s="52"/>
      <c r="Y413" s="52"/>
      <c r="Z413" s="52"/>
    </row>
    <row r="414">
      <c r="A414" s="11"/>
      <c r="B414" s="89"/>
      <c r="C414" s="11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69"/>
      <c r="Q414" s="4"/>
      <c r="R414" s="52"/>
      <c r="S414" s="52"/>
      <c r="T414" s="52"/>
      <c r="U414" s="52"/>
      <c r="V414" s="52"/>
      <c r="W414" s="52"/>
      <c r="X414" s="52"/>
      <c r="Y414" s="52"/>
      <c r="Z414" s="52"/>
    </row>
    <row r="415">
      <c r="A415" s="11"/>
      <c r="B415" s="89"/>
      <c r="C415" s="11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69"/>
      <c r="Q415" s="4"/>
      <c r="R415" s="52"/>
      <c r="S415" s="52"/>
      <c r="T415" s="52"/>
      <c r="U415" s="52"/>
      <c r="V415" s="52"/>
      <c r="W415" s="52"/>
      <c r="X415" s="52"/>
      <c r="Y415" s="52"/>
      <c r="Z415" s="52"/>
    </row>
    <row r="416">
      <c r="A416" s="11"/>
      <c r="B416" s="89"/>
      <c r="C416" s="11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69"/>
      <c r="Q416" s="4"/>
      <c r="R416" s="52"/>
      <c r="S416" s="52"/>
      <c r="T416" s="52"/>
      <c r="U416" s="52"/>
      <c r="V416" s="52"/>
      <c r="W416" s="52"/>
      <c r="X416" s="52"/>
      <c r="Y416" s="52"/>
      <c r="Z416" s="52"/>
    </row>
    <row r="417">
      <c r="A417" s="11"/>
      <c r="B417" s="89"/>
      <c r="C417" s="11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69"/>
      <c r="Q417" s="4"/>
      <c r="R417" s="52"/>
      <c r="S417" s="52"/>
      <c r="T417" s="52"/>
      <c r="U417" s="52"/>
      <c r="V417" s="52"/>
      <c r="W417" s="52"/>
      <c r="X417" s="52"/>
      <c r="Y417" s="52"/>
      <c r="Z417" s="52"/>
    </row>
    <row r="418">
      <c r="A418" s="11"/>
      <c r="B418" s="89"/>
      <c r="C418" s="11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69"/>
      <c r="Q418" s="4"/>
      <c r="R418" s="52"/>
      <c r="S418" s="52"/>
      <c r="T418" s="52"/>
      <c r="U418" s="52"/>
      <c r="V418" s="52"/>
      <c r="W418" s="52"/>
      <c r="X418" s="52"/>
      <c r="Y418" s="52"/>
      <c r="Z418" s="52"/>
    </row>
    <row r="419">
      <c r="A419" s="11"/>
      <c r="B419" s="89"/>
      <c r="C419" s="11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69"/>
      <c r="Q419" s="4"/>
      <c r="R419" s="52"/>
      <c r="S419" s="52"/>
      <c r="T419" s="52"/>
      <c r="U419" s="52"/>
      <c r="V419" s="52"/>
      <c r="W419" s="52"/>
      <c r="X419" s="52"/>
      <c r="Y419" s="52"/>
      <c r="Z419" s="52"/>
    </row>
    <row r="420">
      <c r="A420" s="11"/>
      <c r="B420" s="89"/>
      <c r="C420" s="11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69"/>
      <c r="Q420" s="4"/>
      <c r="R420" s="52"/>
      <c r="S420" s="52"/>
      <c r="T420" s="52"/>
      <c r="U420" s="52"/>
      <c r="V420" s="52"/>
      <c r="W420" s="52"/>
      <c r="X420" s="52"/>
      <c r="Y420" s="52"/>
      <c r="Z420" s="52"/>
    </row>
    <row r="421">
      <c r="A421" s="11"/>
      <c r="B421" s="89"/>
      <c r="C421" s="11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69"/>
      <c r="Q421" s="4"/>
      <c r="R421" s="52"/>
      <c r="S421" s="52"/>
      <c r="T421" s="52"/>
      <c r="U421" s="52"/>
      <c r="V421" s="52"/>
      <c r="W421" s="52"/>
      <c r="X421" s="52"/>
      <c r="Y421" s="52"/>
      <c r="Z421" s="52"/>
    </row>
    <row r="422">
      <c r="A422" s="11"/>
      <c r="B422" s="89"/>
      <c r="C422" s="11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69"/>
      <c r="Q422" s="4"/>
      <c r="R422" s="52"/>
      <c r="S422" s="52"/>
      <c r="T422" s="52"/>
      <c r="U422" s="52"/>
      <c r="V422" s="52"/>
      <c r="W422" s="52"/>
      <c r="X422" s="52"/>
      <c r="Y422" s="52"/>
      <c r="Z422" s="52"/>
    </row>
    <row r="423">
      <c r="A423" s="11"/>
      <c r="B423" s="89"/>
      <c r="C423" s="11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69"/>
      <c r="Q423" s="4"/>
      <c r="R423" s="52"/>
      <c r="S423" s="52"/>
      <c r="T423" s="52"/>
      <c r="U423" s="52"/>
      <c r="V423" s="52"/>
      <c r="W423" s="52"/>
      <c r="X423" s="52"/>
      <c r="Y423" s="52"/>
      <c r="Z423" s="52"/>
    </row>
    <row r="424">
      <c r="A424" s="11"/>
      <c r="B424" s="89"/>
      <c r="C424" s="11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69"/>
      <c r="Q424" s="4"/>
      <c r="R424" s="52"/>
      <c r="S424" s="52"/>
      <c r="T424" s="52"/>
      <c r="U424" s="52"/>
      <c r="V424" s="52"/>
      <c r="W424" s="52"/>
      <c r="X424" s="52"/>
      <c r="Y424" s="52"/>
      <c r="Z424" s="52"/>
    </row>
    <row r="425">
      <c r="A425" s="11"/>
      <c r="B425" s="89"/>
      <c r="C425" s="11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69"/>
      <c r="Q425" s="4"/>
      <c r="R425" s="52"/>
      <c r="S425" s="52"/>
      <c r="T425" s="52"/>
      <c r="U425" s="52"/>
      <c r="V425" s="52"/>
      <c r="W425" s="52"/>
      <c r="X425" s="52"/>
      <c r="Y425" s="52"/>
      <c r="Z425" s="52"/>
    </row>
    <row r="426">
      <c r="A426" s="11"/>
      <c r="B426" s="89"/>
      <c r="C426" s="11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69"/>
      <c r="Q426" s="4"/>
      <c r="R426" s="52"/>
      <c r="S426" s="52"/>
      <c r="T426" s="52"/>
      <c r="U426" s="52"/>
      <c r="V426" s="52"/>
      <c r="W426" s="52"/>
      <c r="X426" s="52"/>
      <c r="Y426" s="52"/>
      <c r="Z426" s="52"/>
    </row>
    <row r="427">
      <c r="A427" s="11"/>
      <c r="B427" s="89"/>
      <c r="C427" s="11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69"/>
      <c r="Q427" s="4"/>
      <c r="R427" s="52"/>
      <c r="S427" s="52"/>
      <c r="T427" s="52"/>
      <c r="U427" s="52"/>
      <c r="V427" s="52"/>
      <c r="W427" s="52"/>
      <c r="X427" s="52"/>
      <c r="Y427" s="52"/>
      <c r="Z427" s="52"/>
    </row>
    <row r="428">
      <c r="A428" s="11"/>
      <c r="B428" s="89"/>
      <c r="C428" s="11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69"/>
      <c r="Q428" s="4"/>
      <c r="R428" s="52"/>
      <c r="S428" s="52"/>
      <c r="T428" s="52"/>
      <c r="U428" s="52"/>
      <c r="V428" s="52"/>
      <c r="W428" s="52"/>
      <c r="X428" s="52"/>
      <c r="Y428" s="52"/>
      <c r="Z428" s="52"/>
    </row>
    <row r="429">
      <c r="A429" s="11"/>
      <c r="B429" s="89"/>
      <c r="C429" s="11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69"/>
      <c r="Q429" s="4"/>
      <c r="R429" s="52"/>
      <c r="S429" s="52"/>
      <c r="T429" s="52"/>
      <c r="U429" s="52"/>
      <c r="V429" s="52"/>
      <c r="W429" s="52"/>
      <c r="X429" s="52"/>
      <c r="Y429" s="52"/>
      <c r="Z429" s="52"/>
    </row>
    <row r="430">
      <c r="A430" s="11"/>
      <c r="B430" s="89"/>
      <c r="C430" s="11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69"/>
      <c r="Q430" s="4"/>
      <c r="R430" s="52"/>
      <c r="S430" s="52"/>
      <c r="T430" s="52"/>
      <c r="U430" s="52"/>
      <c r="V430" s="52"/>
      <c r="W430" s="52"/>
      <c r="X430" s="52"/>
      <c r="Y430" s="52"/>
      <c r="Z430" s="52"/>
    </row>
    <row r="431">
      <c r="A431" s="11"/>
      <c r="B431" s="89"/>
      <c r="C431" s="11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69"/>
      <c r="Q431" s="4"/>
      <c r="R431" s="52"/>
      <c r="S431" s="52"/>
      <c r="T431" s="52"/>
      <c r="U431" s="52"/>
      <c r="V431" s="52"/>
      <c r="W431" s="52"/>
      <c r="X431" s="52"/>
      <c r="Y431" s="52"/>
      <c r="Z431" s="52"/>
    </row>
    <row r="432">
      <c r="A432" s="11"/>
      <c r="B432" s="89"/>
      <c r="C432" s="11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69"/>
      <c r="Q432" s="4"/>
      <c r="R432" s="52"/>
      <c r="S432" s="52"/>
      <c r="T432" s="52"/>
      <c r="U432" s="52"/>
      <c r="V432" s="52"/>
      <c r="W432" s="52"/>
      <c r="X432" s="52"/>
      <c r="Y432" s="52"/>
      <c r="Z432" s="52"/>
    </row>
    <row r="433">
      <c r="A433" s="11"/>
      <c r="B433" s="89"/>
      <c r="C433" s="11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69"/>
      <c r="Q433" s="4"/>
      <c r="R433" s="52"/>
      <c r="S433" s="52"/>
      <c r="T433" s="52"/>
      <c r="U433" s="52"/>
      <c r="V433" s="52"/>
      <c r="W433" s="52"/>
      <c r="X433" s="52"/>
      <c r="Y433" s="52"/>
      <c r="Z433" s="52"/>
    </row>
    <row r="434">
      <c r="A434" s="11"/>
      <c r="B434" s="89"/>
      <c r="C434" s="11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69"/>
      <c r="Q434" s="4"/>
      <c r="R434" s="52"/>
      <c r="S434" s="52"/>
      <c r="T434" s="52"/>
      <c r="U434" s="52"/>
      <c r="V434" s="52"/>
      <c r="W434" s="52"/>
      <c r="X434" s="52"/>
      <c r="Y434" s="52"/>
      <c r="Z434" s="52"/>
    </row>
    <row r="435">
      <c r="A435" s="11"/>
      <c r="B435" s="89"/>
      <c r="C435" s="11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69"/>
      <c r="Q435" s="4"/>
      <c r="R435" s="52"/>
      <c r="S435" s="52"/>
      <c r="T435" s="52"/>
      <c r="U435" s="52"/>
      <c r="V435" s="52"/>
      <c r="W435" s="52"/>
      <c r="X435" s="52"/>
      <c r="Y435" s="52"/>
      <c r="Z435" s="52"/>
    </row>
    <row r="436">
      <c r="A436" s="11"/>
      <c r="B436" s="89"/>
      <c r="C436" s="11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69"/>
      <c r="Q436" s="4"/>
      <c r="R436" s="52"/>
      <c r="S436" s="52"/>
      <c r="T436" s="52"/>
      <c r="U436" s="52"/>
      <c r="V436" s="52"/>
      <c r="W436" s="52"/>
      <c r="X436" s="52"/>
      <c r="Y436" s="52"/>
      <c r="Z436" s="52"/>
    </row>
    <row r="437">
      <c r="A437" s="11"/>
      <c r="B437" s="89"/>
      <c r="C437" s="11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69"/>
      <c r="Q437" s="4"/>
      <c r="R437" s="52"/>
      <c r="S437" s="52"/>
      <c r="T437" s="52"/>
      <c r="U437" s="52"/>
      <c r="V437" s="52"/>
      <c r="W437" s="52"/>
      <c r="X437" s="52"/>
      <c r="Y437" s="52"/>
      <c r="Z437" s="52"/>
    </row>
    <row r="438">
      <c r="A438" s="11"/>
      <c r="B438" s="89"/>
      <c r="C438" s="11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69"/>
      <c r="Q438" s="4"/>
      <c r="R438" s="52"/>
      <c r="S438" s="52"/>
      <c r="T438" s="52"/>
      <c r="U438" s="52"/>
      <c r="V438" s="52"/>
      <c r="W438" s="52"/>
      <c r="X438" s="52"/>
      <c r="Y438" s="52"/>
      <c r="Z438" s="52"/>
    </row>
    <row r="439">
      <c r="A439" s="11"/>
      <c r="B439" s="89"/>
      <c r="C439" s="11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69"/>
      <c r="Q439" s="4"/>
      <c r="R439" s="52"/>
      <c r="S439" s="52"/>
      <c r="T439" s="52"/>
      <c r="U439" s="52"/>
      <c r="V439" s="52"/>
      <c r="W439" s="52"/>
      <c r="X439" s="52"/>
      <c r="Y439" s="52"/>
      <c r="Z439" s="52"/>
    </row>
    <row r="440">
      <c r="A440" s="11"/>
      <c r="B440" s="89"/>
      <c r="C440" s="11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69"/>
      <c r="Q440" s="4"/>
      <c r="R440" s="52"/>
      <c r="S440" s="52"/>
      <c r="T440" s="52"/>
      <c r="U440" s="52"/>
      <c r="V440" s="52"/>
      <c r="W440" s="52"/>
      <c r="X440" s="52"/>
      <c r="Y440" s="52"/>
      <c r="Z440" s="52"/>
    </row>
    <row r="441">
      <c r="A441" s="11"/>
      <c r="B441" s="89"/>
      <c r="C441" s="11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69"/>
      <c r="Q441" s="4"/>
      <c r="R441" s="52"/>
      <c r="S441" s="52"/>
      <c r="T441" s="52"/>
      <c r="U441" s="52"/>
      <c r="V441" s="52"/>
      <c r="W441" s="52"/>
      <c r="X441" s="52"/>
      <c r="Y441" s="52"/>
      <c r="Z441" s="52"/>
    </row>
    <row r="442">
      <c r="A442" s="11"/>
      <c r="B442" s="89"/>
      <c r="C442" s="11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69"/>
      <c r="Q442" s="4"/>
      <c r="R442" s="52"/>
      <c r="S442" s="52"/>
      <c r="T442" s="52"/>
      <c r="U442" s="52"/>
      <c r="V442" s="52"/>
      <c r="W442" s="52"/>
      <c r="X442" s="52"/>
      <c r="Y442" s="52"/>
      <c r="Z442" s="52"/>
    </row>
    <row r="443">
      <c r="A443" s="11"/>
      <c r="B443" s="89"/>
      <c r="C443" s="11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69"/>
      <c r="Q443" s="4"/>
      <c r="R443" s="52"/>
      <c r="S443" s="52"/>
      <c r="T443" s="52"/>
      <c r="U443" s="52"/>
      <c r="V443" s="52"/>
      <c r="W443" s="52"/>
      <c r="X443" s="52"/>
      <c r="Y443" s="52"/>
      <c r="Z443" s="52"/>
    </row>
    <row r="444">
      <c r="A444" s="11"/>
      <c r="B444" s="89"/>
      <c r="C444" s="11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69"/>
      <c r="Q444" s="4"/>
      <c r="R444" s="52"/>
      <c r="S444" s="52"/>
      <c r="T444" s="52"/>
      <c r="U444" s="52"/>
      <c r="V444" s="52"/>
      <c r="W444" s="52"/>
      <c r="X444" s="52"/>
      <c r="Y444" s="52"/>
      <c r="Z444" s="52"/>
    </row>
    <row r="445">
      <c r="A445" s="11"/>
      <c r="B445" s="89"/>
      <c r="C445" s="11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69"/>
      <c r="Q445" s="4"/>
      <c r="R445" s="52"/>
      <c r="S445" s="52"/>
      <c r="T445" s="52"/>
      <c r="U445" s="52"/>
      <c r="V445" s="52"/>
      <c r="W445" s="52"/>
      <c r="X445" s="52"/>
      <c r="Y445" s="52"/>
      <c r="Z445" s="52"/>
    </row>
    <row r="446">
      <c r="A446" s="11"/>
      <c r="B446" s="89"/>
      <c r="C446" s="11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69"/>
      <c r="Q446" s="4"/>
      <c r="R446" s="52"/>
      <c r="S446" s="52"/>
      <c r="T446" s="52"/>
      <c r="U446" s="52"/>
      <c r="V446" s="52"/>
      <c r="W446" s="52"/>
      <c r="X446" s="52"/>
      <c r="Y446" s="52"/>
      <c r="Z446" s="52"/>
    </row>
    <row r="447">
      <c r="A447" s="11"/>
      <c r="B447" s="89"/>
      <c r="C447" s="11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69"/>
      <c r="Q447" s="4"/>
      <c r="R447" s="52"/>
      <c r="S447" s="52"/>
      <c r="T447" s="52"/>
      <c r="U447" s="52"/>
      <c r="V447" s="52"/>
      <c r="W447" s="52"/>
      <c r="X447" s="52"/>
      <c r="Y447" s="52"/>
      <c r="Z447" s="52"/>
    </row>
    <row r="448">
      <c r="A448" s="11"/>
      <c r="B448" s="89"/>
      <c r="C448" s="11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69"/>
      <c r="Q448" s="4"/>
      <c r="R448" s="52"/>
      <c r="S448" s="52"/>
      <c r="T448" s="52"/>
      <c r="U448" s="52"/>
      <c r="V448" s="52"/>
      <c r="W448" s="52"/>
      <c r="X448" s="52"/>
      <c r="Y448" s="52"/>
      <c r="Z448" s="52"/>
    </row>
    <row r="449">
      <c r="A449" s="11"/>
      <c r="B449" s="89"/>
      <c r="C449" s="11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69"/>
      <c r="Q449" s="4"/>
      <c r="R449" s="52"/>
      <c r="S449" s="52"/>
      <c r="T449" s="52"/>
      <c r="U449" s="52"/>
      <c r="V449" s="52"/>
      <c r="W449" s="52"/>
      <c r="X449" s="52"/>
      <c r="Y449" s="52"/>
      <c r="Z449" s="52"/>
    </row>
    <row r="450">
      <c r="A450" s="11"/>
      <c r="B450" s="89"/>
      <c r="C450" s="11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69"/>
      <c r="Q450" s="4"/>
      <c r="R450" s="52"/>
      <c r="S450" s="52"/>
      <c r="T450" s="52"/>
      <c r="U450" s="52"/>
      <c r="V450" s="52"/>
      <c r="W450" s="52"/>
      <c r="X450" s="52"/>
      <c r="Y450" s="52"/>
      <c r="Z450" s="52"/>
    </row>
    <row r="451">
      <c r="A451" s="11"/>
      <c r="B451" s="89"/>
      <c r="C451" s="11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69"/>
      <c r="Q451" s="4"/>
      <c r="R451" s="52"/>
      <c r="S451" s="52"/>
      <c r="T451" s="52"/>
      <c r="U451" s="52"/>
      <c r="V451" s="52"/>
      <c r="W451" s="52"/>
      <c r="X451" s="52"/>
      <c r="Y451" s="52"/>
      <c r="Z451" s="52"/>
    </row>
    <row r="452">
      <c r="A452" s="11"/>
      <c r="B452" s="89"/>
      <c r="C452" s="11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69"/>
      <c r="Q452" s="4"/>
      <c r="R452" s="52"/>
      <c r="S452" s="52"/>
      <c r="T452" s="52"/>
      <c r="U452" s="52"/>
      <c r="V452" s="52"/>
      <c r="W452" s="52"/>
      <c r="X452" s="52"/>
      <c r="Y452" s="52"/>
      <c r="Z452" s="52"/>
    </row>
    <row r="453">
      <c r="A453" s="11"/>
      <c r="B453" s="89"/>
      <c r="C453" s="11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69"/>
      <c r="Q453" s="4"/>
      <c r="R453" s="52"/>
      <c r="S453" s="52"/>
      <c r="T453" s="52"/>
      <c r="U453" s="52"/>
      <c r="V453" s="52"/>
      <c r="W453" s="52"/>
      <c r="X453" s="52"/>
      <c r="Y453" s="52"/>
      <c r="Z453" s="52"/>
    </row>
    <row r="454">
      <c r="A454" s="11"/>
      <c r="B454" s="89"/>
      <c r="C454" s="11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69"/>
      <c r="Q454" s="4"/>
      <c r="R454" s="52"/>
      <c r="S454" s="52"/>
      <c r="T454" s="52"/>
      <c r="U454" s="52"/>
      <c r="V454" s="52"/>
      <c r="W454" s="52"/>
      <c r="X454" s="52"/>
      <c r="Y454" s="52"/>
      <c r="Z454" s="52"/>
    </row>
    <row r="455">
      <c r="A455" s="11"/>
      <c r="B455" s="89"/>
      <c r="C455" s="11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69"/>
      <c r="Q455" s="4"/>
      <c r="R455" s="52"/>
      <c r="S455" s="52"/>
      <c r="T455" s="52"/>
      <c r="U455" s="52"/>
      <c r="V455" s="52"/>
      <c r="W455" s="52"/>
      <c r="X455" s="52"/>
      <c r="Y455" s="52"/>
      <c r="Z455" s="52"/>
    </row>
    <row r="456">
      <c r="A456" s="11"/>
      <c r="B456" s="89"/>
      <c r="C456" s="11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69"/>
      <c r="Q456" s="4"/>
      <c r="R456" s="52"/>
      <c r="S456" s="52"/>
      <c r="T456" s="52"/>
      <c r="U456" s="52"/>
      <c r="V456" s="52"/>
      <c r="W456" s="52"/>
      <c r="X456" s="52"/>
      <c r="Y456" s="52"/>
      <c r="Z456" s="52"/>
    </row>
    <row r="457">
      <c r="A457" s="11"/>
      <c r="B457" s="89"/>
      <c r="C457" s="11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69"/>
      <c r="Q457" s="4"/>
      <c r="R457" s="52"/>
      <c r="S457" s="52"/>
      <c r="T457" s="52"/>
      <c r="U457" s="52"/>
      <c r="V457" s="52"/>
      <c r="W457" s="52"/>
      <c r="X457" s="52"/>
      <c r="Y457" s="52"/>
      <c r="Z457" s="52"/>
    </row>
    <row r="458">
      <c r="A458" s="11"/>
      <c r="B458" s="89"/>
      <c r="C458" s="11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69"/>
      <c r="Q458" s="4"/>
      <c r="R458" s="52"/>
      <c r="S458" s="52"/>
      <c r="T458" s="52"/>
      <c r="U458" s="52"/>
      <c r="V458" s="52"/>
      <c r="W458" s="52"/>
      <c r="X458" s="52"/>
      <c r="Y458" s="52"/>
      <c r="Z458" s="52"/>
    </row>
    <row r="459">
      <c r="A459" s="11"/>
      <c r="B459" s="89"/>
      <c r="C459" s="11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69"/>
      <c r="Q459" s="4"/>
      <c r="R459" s="52"/>
      <c r="S459" s="52"/>
      <c r="T459" s="52"/>
      <c r="U459" s="52"/>
      <c r="V459" s="52"/>
      <c r="W459" s="52"/>
      <c r="X459" s="52"/>
      <c r="Y459" s="52"/>
      <c r="Z459" s="52"/>
    </row>
    <row r="460">
      <c r="A460" s="11"/>
      <c r="B460" s="89"/>
      <c r="C460" s="11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69"/>
      <c r="Q460" s="4"/>
      <c r="R460" s="52"/>
      <c r="S460" s="52"/>
      <c r="T460" s="52"/>
      <c r="U460" s="52"/>
      <c r="V460" s="52"/>
      <c r="W460" s="52"/>
      <c r="X460" s="52"/>
      <c r="Y460" s="52"/>
      <c r="Z460" s="52"/>
    </row>
    <row r="461">
      <c r="A461" s="11"/>
      <c r="B461" s="89"/>
      <c r="C461" s="11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69"/>
      <c r="Q461" s="4"/>
      <c r="R461" s="52"/>
      <c r="S461" s="52"/>
      <c r="T461" s="52"/>
      <c r="U461" s="52"/>
      <c r="V461" s="52"/>
      <c r="W461" s="52"/>
      <c r="X461" s="52"/>
      <c r="Y461" s="52"/>
      <c r="Z461" s="52"/>
    </row>
    <row r="462">
      <c r="A462" s="11"/>
      <c r="B462" s="89"/>
      <c r="C462" s="11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69"/>
      <c r="Q462" s="4"/>
      <c r="R462" s="52"/>
      <c r="S462" s="52"/>
      <c r="T462" s="52"/>
      <c r="U462" s="52"/>
      <c r="V462" s="52"/>
      <c r="W462" s="52"/>
      <c r="X462" s="52"/>
      <c r="Y462" s="52"/>
      <c r="Z462" s="52"/>
    </row>
    <row r="463">
      <c r="A463" s="11"/>
      <c r="B463" s="89"/>
      <c r="C463" s="11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69"/>
      <c r="Q463" s="4"/>
      <c r="R463" s="52"/>
      <c r="S463" s="52"/>
      <c r="T463" s="52"/>
      <c r="U463" s="52"/>
      <c r="V463" s="52"/>
      <c r="W463" s="52"/>
      <c r="X463" s="52"/>
      <c r="Y463" s="52"/>
      <c r="Z463" s="52"/>
    </row>
    <row r="464">
      <c r="A464" s="11"/>
      <c r="B464" s="89"/>
      <c r="C464" s="11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69"/>
      <c r="Q464" s="4"/>
      <c r="R464" s="52"/>
      <c r="S464" s="52"/>
      <c r="T464" s="52"/>
      <c r="U464" s="52"/>
      <c r="V464" s="52"/>
      <c r="W464" s="52"/>
      <c r="X464" s="52"/>
      <c r="Y464" s="52"/>
      <c r="Z464" s="52"/>
    </row>
    <row r="465">
      <c r="A465" s="11"/>
      <c r="B465" s="89"/>
      <c r="C465" s="11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69"/>
      <c r="Q465" s="4"/>
      <c r="R465" s="52"/>
      <c r="S465" s="52"/>
      <c r="T465" s="52"/>
      <c r="U465" s="52"/>
      <c r="V465" s="52"/>
      <c r="W465" s="52"/>
      <c r="X465" s="52"/>
      <c r="Y465" s="52"/>
      <c r="Z465" s="52"/>
    </row>
    <row r="466">
      <c r="A466" s="11"/>
      <c r="B466" s="89"/>
      <c r="C466" s="11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69"/>
      <c r="Q466" s="4"/>
      <c r="R466" s="52"/>
      <c r="S466" s="52"/>
      <c r="T466" s="52"/>
      <c r="U466" s="52"/>
      <c r="V466" s="52"/>
      <c r="W466" s="52"/>
      <c r="X466" s="52"/>
      <c r="Y466" s="52"/>
      <c r="Z466" s="52"/>
    </row>
    <row r="467">
      <c r="A467" s="11"/>
      <c r="B467" s="89"/>
      <c r="C467" s="11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69"/>
      <c r="Q467" s="4"/>
      <c r="R467" s="52"/>
      <c r="S467" s="52"/>
      <c r="T467" s="52"/>
      <c r="U467" s="52"/>
      <c r="V467" s="52"/>
      <c r="W467" s="52"/>
      <c r="X467" s="52"/>
      <c r="Y467" s="52"/>
      <c r="Z467" s="52"/>
    </row>
    <row r="468">
      <c r="A468" s="11"/>
      <c r="B468" s="89"/>
      <c r="C468" s="11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69"/>
      <c r="Q468" s="4"/>
      <c r="R468" s="52"/>
      <c r="S468" s="52"/>
      <c r="T468" s="52"/>
      <c r="U468" s="52"/>
      <c r="V468" s="52"/>
      <c r="W468" s="52"/>
      <c r="X468" s="52"/>
      <c r="Y468" s="52"/>
      <c r="Z468" s="52"/>
    </row>
    <row r="469">
      <c r="A469" s="11"/>
      <c r="B469" s="89"/>
      <c r="C469" s="11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69"/>
      <c r="Q469" s="4"/>
      <c r="R469" s="52"/>
      <c r="S469" s="52"/>
      <c r="T469" s="52"/>
      <c r="U469" s="52"/>
      <c r="V469" s="52"/>
      <c r="W469" s="52"/>
      <c r="X469" s="52"/>
      <c r="Y469" s="52"/>
      <c r="Z469" s="52"/>
    </row>
    <row r="470">
      <c r="A470" s="11"/>
      <c r="B470" s="89"/>
      <c r="C470" s="11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69"/>
      <c r="Q470" s="4"/>
      <c r="R470" s="52"/>
      <c r="S470" s="52"/>
      <c r="T470" s="52"/>
      <c r="U470" s="52"/>
      <c r="V470" s="52"/>
      <c r="W470" s="52"/>
      <c r="X470" s="52"/>
      <c r="Y470" s="52"/>
      <c r="Z470" s="52"/>
    </row>
    <row r="471">
      <c r="A471" s="11"/>
      <c r="B471" s="89"/>
      <c r="C471" s="11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69"/>
      <c r="Q471" s="4"/>
      <c r="R471" s="52"/>
      <c r="S471" s="52"/>
      <c r="T471" s="52"/>
      <c r="U471" s="52"/>
      <c r="V471" s="52"/>
      <c r="W471" s="52"/>
      <c r="X471" s="52"/>
      <c r="Y471" s="52"/>
      <c r="Z471" s="52"/>
    </row>
    <row r="472">
      <c r="A472" s="11"/>
      <c r="B472" s="89"/>
      <c r="C472" s="11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69"/>
      <c r="Q472" s="4"/>
      <c r="R472" s="52"/>
      <c r="S472" s="52"/>
      <c r="T472" s="52"/>
      <c r="U472" s="52"/>
      <c r="V472" s="52"/>
      <c r="W472" s="52"/>
      <c r="X472" s="52"/>
      <c r="Y472" s="52"/>
      <c r="Z472" s="52"/>
    </row>
    <row r="473">
      <c r="A473" s="11"/>
      <c r="B473" s="89"/>
      <c r="C473" s="11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69"/>
      <c r="Q473" s="4"/>
      <c r="R473" s="52"/>
      <c r="S473" s="52"/>
      <c r="T473" s="52"/>
      <c r="U473" s="52"/>
      <c r="V473" s="52"/>
      <c r="W473" s="52"/>
      <c r="X473" s="52"/>
      <c r="Y473" s="52"/>
      <c r="Z473" s="52"/>
    </row>
    <row r="474">
      <c r="A474" s="11"/>
      <c r="B474" s="89"/>
      <c r="C474" s="11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69"/>
      <c r="Q474" s="4"/>
      <c r="R474" s="52"/>
      <c r="S474" s="52"/>
      <c r="T474" s="52"/>
      <c r="U474" s="52"/>
      <c r="V474" s="52"/>
      <c r="W474" s="52"/>
      <c r="X474" s="52"/>
      <c r="Y474" s="52"/>
      <c r="Z474" s="52"/>
    </row>
    <row r="475">
      <c r="A475" s="11"/>
      <c r="B475" s="89"/>
      <c r="C475" s="11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69"/>
      <c r="Q475" s="4"/>
      <c r="R475" s="52"/>
      <c r="S475" s="52"/>
      <c r="T475" s="52"/>
      <c r="U475" s="52"/>
      <c r="V475" s="52"/>
      <c r="W475" s="52"/>
      <c r="X475" s="52"/>
      <c r="Y475" s="52"/>
      <c r="Z475" s="52"/>
    </row>
    <row r="476">
      <c r="A476" s="11"/>
      <c r="B476" s="89"/>
      <c r="C476" s="11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69"/>
      <c r="Q476" s="4"/>
      <c r="R476" s="52"/>
      <c r="S476" s="52"/>
      <c r="T476" s="52"/>
      <c r="U476" s="52"/>
      <c r="V476" s="52"/>
      <c r="W476" s="52"/>
      <c r="X476" s="52"/>
      <c r="Y476" s="52"/>
      <c r="Z476" s="52"/>
    </row>
    <row r="477">
      <c r="A477" s="11"/>
      <c r="B477" s="89"/>
      <c r="C477" s="11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69"/>
      <c r="Q477" s="4"/>
      <c r="R477" s="52"/>
      <c r="S477" s="52"/>
      <c r="T477" s="52"/>
      <c r="U477" s="52"/>
      <c r="V477" s="52"/>
      <c r="W477" s="52"/>
      <c r="X477" s="52"/>
      <c r="Y477" s="52"/>
      <c r="Z477" s="52"/>
    </row>
    <row r="478">
      <c r="A478" s="11"/>
      <c r="B478" s="89"/>
      <c r="C478" s="11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69"/>
      <c r="Q478" s="4"/>
      <c r="R478" s="52"/>
      <c r="S478" s="52"/>
      <c r="T478" s="52"/>
      <c r="U478" s="52"/>
      <c r="V478" s="52"/>
      <c r="W478" s="52"/>
      <c r="X478" s="52"/>
      <c r="Y478" s="52"/>
      <c r="Z478" s="52"/>
    </row>
    <row r="479">
      <c r="A479" s="11"/>
      <c r="B479" s="89"/>
      <c r="C479" s="11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69"/>
      <c r="Q479" s="4"/>
      <c r="R479" s="52"/>
      <c r="S479" s="52"/>
      <c r="T479" s="52"/>
      <c r="U479" s="52"/>
      <c r="V479" s="52"/>
      <c r="W479" s="52"/>
      <c r="X479" s="52"/>
      <c r="Y479" s="52"/>
      <c r="Z479" s="52"/>
    </row>
    <row r="480">
      <c r="A480" s="11"/>
      <c r="B480" s="89"/>
      <c r="C480" s="11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69"/>
      <c r="Q480" s="4"/>
      <c r="R480" s="52"/>
      <c r="S480" s="52"/>
      <c r="T480" s="52"/>
      <c r="U480" s="52"/>
      <c r="V480" s="52"/>
      <c r="W480" s="52"/>
      <c r="X480" s="52"/>
      <c r="Y480" s="52"/>
      <c r="Z480" s="52"/>
    </row>
    <row r="481">
      <c r="A481" s="11"/>
      <c r="B481" s="89"/>
      <c r="C481" s="11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69"/>
      <c r="Q481" s="4"/>
      <c r="R481" s="52"/>
      <c r="S481" s="52"/>
      <c r="T481" s="52"/>
      <c r="U481" s="52"/>
      <c r="V481" s="52"/>
      <c r="W481" s="52"/>
      <c r="X481" s="52"/>
      <c r="Y481" s="52"/>
      <c r="Z481" s="52"/>
    </row>
    <row r="482">
      <c r="A482" s="11"/>
      <c r="B482" s="89"/>
      <c r="C482" s="11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69"/>
      <c r="Q482" s="4"/>
      <c r="R482" s="52"/>
      <c r="S482" s="52"/>
      <c r="T482" s="52"/>
      <c r="U482" s="52"/>
      <c r="V482" s="52"/>
      <c r="W482" s="52"/>
      <c r="X482" s="52"/>
      <c r="Y482" s="52"/>
      <c r="Z482" s="52"/>
    </row>
    <row r="483">
      <c r="A483" s="11"/>
      <c r="B483" s="89"/>
      <c r="C483" s="11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69"/>
      <c r="Q483" s="4"/>
      <c r="R483" s="52"/>
      <c r="S483" s="52"/>
      <c r="T483" s="52"/>
      <c r="U483" s="52"/>
      <c r="V483" s="52"/>
      <c r="W483" s="52"/>
      <c r="X483" s="52"/>
      <c r="Y483" s="52"/>
      <c r="Z483" s="52"/>
    </row>
    <row r="484">
      <c r="A484" s="11"/>
      <c r="B484" s="89"/>
      <c r="C484" s="11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69"/>
      <c r="Q484" s="4"/>
      <c r="R484" s="52"/>
      <c r="S484" s="52"/>
      <c r="T484" s="52"/>
      <c r="U484" s="52"/>
      <c r="V484" s="52"/>
      <c r="W484" s="52"/>
      <c r="X484" s="52"/>
      <c r="Y484" s="52"/>
      <c r="Z484" s="52"/>
    </row>
    <row r="485">
      <c r="A485" s="11"/>
      <c r="B485" s="89"/>
      <c r="C485" s="11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69"/>
      <c r="Q485" s="4"/>
      <c r="R485" s="52"/>
      <c r="S485" s="52"/>
      <c r="T485" s="52"/>
      <c r="U485" s="52"/>
      <c r="V485" s="52"/>
      <c r="W485" s="52"/>
      <c r="X485" s="52"/>
      <c r="Y485" s="52"/>
      <c r="Z485" s="52"/>
    </row>
    <row r="486">
      <c r="A486" s="11"/>
      <c r="B486" s="89"/>
      <c r="C486" s="11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69"/>
      <c r="Q486" s="4"/>
      <c r="R486" s="52"/>
      <c r="S486" s="52"/>
      <c r="T486" s="52"/>
      <c r="U486" s="52"/>
      <c r="V486" s="52"/>
      <c r="W486" s="52"/>
      <c r="X486" s="52"/>
      <c r="Y486" s="52"/>
      <c r="Z486" s="52"/>
    </row>
    <row r="487">
      <c r="A487" s="11"/>
      <c r="B487" s="89"/>
      <c r="C487" s="11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69"/>
      <c r="Q487" s="4"/>
      <c r="R487" s="52"/>
      <c r="S487" s="52"/>
      <c r="T487" s="52"/>
      <c r="U487" s="52"/>
      <c r="V487" s="52"/>
      <c r="W487" s="52"/>
      <c r="X487" s="52"/>
      <c r="Y487" s="52"/>
      <c r="Z487" s="52"/>
    </row>
    <row r="488">
      <c r="A488" s="11"/>
      <c r="B488" s="89"/>
      <c r="C488" s="11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69"/>
      <c r="Q488" s="4"/>
      <c r="R488" s="52"/>
      <c r="S488" s="52"/>
      <c r="T488" s="52"/>
      <c r="U488" s="52"/>
      <c r="V488" s="52"/>
      <c r="W488" s="52"/>
      <c r="X488" s="52"/>
      <c r="Y488" s="52"/>
      <c r="Z488" s="52"/>
    </row>
    <row r="489">
      <c r="A489" s="11"/>
      <c r="B489" s="89"/>
      <c r="C489" s="11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69"/>
      <c r="Q489" s="4"/>
      <c r="R489" s="52"/>
      <c r="S489" s="52"/>
      <c r="T489" s="52"/>
      <c r="U489" s="52"/>
      <c r="V489" s="52"/>
      <c r="W489" s="52"/>
      <c r="X489" s="52"/>
      <c r="Y489" s="52"/>
      <c r="Z489" s="52"/>
    </row>
    <row r="490">
      <c r="A490" s="11"/>
      <c r="B490" s="89"/>
      <c r="C490" s="11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69"/>
      <c r="Q490" s="4"/>
      <c r="R490" s="52"/>
      <c r="S490" s="52"/>
      <c r="T490" s="52"/>
      <c r="U490" s="52"/>
      <c r="V490" s="52"/>
      <c r="W490" s="52"/>
      <c r="X490" s="52"/>
      <c r="Y490" s="52"/>
      <c r="Z490" s="52"/>
    </row>
    <row r="491">
      <c r="A491" s="11"/>
      <c r="B491" s="89"/>
      <c r="C491" s="11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69"/>
      <c r="Q491" s="4"/>
      <c r="R491" s="52"/>
      <c r="S491" s="52"/>
      <c r="T491" s="52"/>
      <c r="U491" s="52"/>
      <c r="V491" s="52"/>
      <c r="W491" s="52"/>
      <c r="X491" s="52"/>
      <c r="Y491" s="52"/>
      <c r="Z491" s="52"/>
    </row>
    <row r="492">
      <c r="A492" s="11"/>
      <c r="B492" s="89"/>
      <c r="C492" s="11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69"/>
      <c r="Q492" s="4"/>
      <c r="R492" s="52"/>
      <c r="S492" s="52"/>
      <c r="T492" s="52"/>
      <c r="U492" s="52"/>
      <c r="V492" s="52"/>
      <c r="W492" s="52"/>
      <c r="X492" s="52"/>
      <c r="Y492" s="52"/>
      <c r="Z492" s="52"/>
    </row>
    <row r="493">
      <c r="A493" s="11"/>
      <c r="B493" s="89"/>
      <c r="C493" s="11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69"/>
      <c r="Q493" s="4"/>
      <c r="R493" s="52"/>
      <c r="S493" s="52"/>
      <c r="T493" s="52"/>
      <c r="U493" s="52"/>
      <c r="V493" s="52"/>
      <c r="W493" s="52"/>
      <c r="X493" s="52"/>
      <c r="Y493" s="52"/>
      <c r="Z493" s="52"/>
    </row>
    <row r="494">
      <c r="A494" s="11"/>
      <c r="B494" s="89"/>
      <c r="C494" s="11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69"/>
      <c r="Q494" s="4"/>
      <c r="R494" s="52"/>
      <c r="S494" s="52"/>
      <c r="T494" s="52"/>
      <c r="U494" s="52"/>
      <c r="V494" s="52"/>
      <c r="W494" s="52"/>
      <c r="X494" s="52"/>
      <c r="Y494" s="52"/>
      <c r="Z494" s="52"/>
    </row>
    <row r="495">
      <c r="A495" s="11"/>
      <c r="B495" s="89"/>
      <c r="C495" s="11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69"/>
      <c r="Q495" s="4"/>
      <c r="R495" s="52"/>
      <c r="S495" s="52"/>
      <c r="T495" s="52"/>
      <c r="U495" s="52"/>
      <c r="V495" s="52"/>
      <c r="W495" s="52"/>
      <c r="X495" s="52"/>
      <c r="Y495" s="52"/>
      <c r="Z495" s="52"/>
    </row>
    <row r="496">
      <c r="A496" s="11"/>
      <c r="B496" s="89"/>
      <c r="C496" s="11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69"/>
      <c r="Q496" s="4"/>
      <c r="R496" s="52"/>
      <c r="S496" s="52"/>
      <c r="T496" s="52"/>
      <c r="U496" s="52"/>
      <c r="V496" s="52"/>
      <c r="W496" s="52"/>
      <c r="X496" s="52"/>
      <c r="Y496" s="52"/>
      <c r="Z496" s="52"/>
    </row>
    <row r="497">
      <c r="A497" s="11"/>
      <c r="B497" s="89"/>
      <c r="C497" s="11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69"/>
      <c r="Q497" s="4"/>
      <c r="R497" s="52"/>
      <c r="S497" s="52"/>
      <c r="T497" s="52"/>
      <c r="U497" s="52"/>
      <c r="V497" s="52"/>
      <c r="W497" s="52"/>
      <c r="X497" s="52"/>
      <c r="Y497" s="52"/>
      <c r="Z497" s="52"/>
    </row>
    <row r="498">
      <c r="A498" s="11"/>
      <c r="B498" s="89"/>
      <c r="C498" s="11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69"/>
      <c r="Q498" s="4"/>
      <c r="R498" s="52"/>
      <c r="S498" s="52"/>
      <c r="T498" s="52"/>
      <c r="U498" s="52"/>
      <c r="V498" s="52"/>
      <c r="W498" s="52"/>
      <c r="X498" s="52"/>
      <c r="Y498" s="52"/>
      <c r="Z498" s="52"/>
    </row>
    <row r="499">
      <c r="A499" s="11"/>
      <c r="B499" s="89"/>
      <c r="C499" s="11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69"/>
      <c r="Q499" s="4"/>
      <c r="R499" s="52"/>
      <c r="S499" s="52"/>
      <c r="T499" s="52"/>
      <c r="U499" s="52"/>
      <c r="V499" s="52"/>
      <c r="W499" s="52"/>
      <c r="X499" s="52"/>
      <c r="Y499" s="52"/>
      <c r="Z499" s="52"/>
    </row>
    <row r="500">
      <c r="A500" s="11"/>
      <c r="B500" s="89"/>
      <c r="C500" s="11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69"/>
      <c r="Q500" s="4"/>
      <c r="R500" s="52"/>
      <c r="S500" s="52"/>
      <c r="T500" s="52"/>
      <c r="U500" s="52"/>
      <c r="V500" s="52"/>
      <c r="W500" s="52"/>
      <c r="X500" s="52"/>
      <c r="Y500" s="52"/>
      <c r="Z500" s="52"/>
    </row>
    <row r="501">
      <c r="A501" s="11"/>
      <c r="B501" s="89"/>
      <c r="C501" s="11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69"/>
      <c r="Q501" s="4"/>
      <c r="R501" s="52"/>
      <c r="S501" s="52"/>
      <c r="T501" s="52"/>
      <c r="U501" s="52"/>
      <c r="V501" s="52"/>
      <c r="W501" s="52"/>
      <c r="X501" s="52"/>
      <c r="Y501" s="52"/>
      <c r="Z501" s="52"/>
    </row>
    <row r="502">
      <c r="A502" s="11"/>
      <c r="B502" s="89"/>
      <c r="C502" s="11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69"/>
      <c r="Q502" s="4"/>
      <c r="R502" s="52"/>
      <c r="S502" s="52"/>
      <c r="T502" s="52"/>
      <c r="U502" s="52"/>
      <c r="V502" s="52"/>
      <c r="W502" s="52"/>
      <c r="X502" s="52"/>
      <c r="Y502" s="52"/>
      <c r="Z502" s="52"/>
    </row>
    <row r="503">
      <c r="A503" s="11"/>
      <c r="B503" s="89"/>
      <c r="C503" s="11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69"/>
      <c r="Q503" s="4"/>
      <c r="R503" s="52"/>
      <c r="S503" s="52"/>
      <c r="T503" s="52"/>
      <c r="U503" s="52"/>
      <c r="V503" s="52"/>
      <c r="W503" s="52"/>
      <c r="X503" s="52"/>
      <c r="Y503" s="52"/>
      <c r="Z503" s="52"/>
    </row>
    <row r="504">
      <c r="A504" s="11"/>
      <c r="B504" s="89"/>
      <c r="C504" s="11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69"/>
      <c r="Q504" s="4"/>
      <c r="R504" s="52"/>
      <c r="S504" s="52"/>
      <c r="T504" s="52"/>
      <c r="U504" s="52"/>
      <c r="V504" s="52"/>
      <c r="W504" s="52"/>
      <c r="X504" s="52"/>
      <c r="Y504" s="52"/>
      <c r="Z504" s="52"/>
    </row>
    <row r="505">
      <c r="A505" s="11"/>
      <c r="B505" s="89"/>
      <c r="C505" s="11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69"/>
      <c r="Q505" s="4"/>
      <c r="R505" s="52"/>
      <c r="S505" s="52"/>
      <c r="T505" s="52"/>
      <c r="U505" s="52"/>
      <c r="V505" s="52"/>
      <c r="W505" s="52"/>
      <c r="X505" s="52"/>
      <c r="Y505" s="52"/>
      <c r="Z505" s="52"/>
    </row>
    <row r="506">
      <c r="A506" s="11"/>
      <c r="B506" s="89"/>
      <c r="C506" s="11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69"/>
      <c r="Q506" s="4"/>
      <c r="R506" s="52"/>
      <c r="S506" s="52"/>
      <c r="T506" s="52"/>
      <c r="U506" s="52"/>
      <c r="V506" s="52"/>
      <c r="W506" s="52"/>
      <c r="X506" s="52"/>
      <c r="Y506" s="52"/>
      <c r="Z506" s="52"/>
    </row>
    <row r="507">
      <c r="A507" s="11"/>
      <c r="B507" s="89"/>
      <c r="C507" s="11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69"/>
      <c r="Q507" s="4"/>
      <c r="R507" s="52"/>
      <c r="S507" s="52"/>
      <c r="T507" s="52"/>
      <c r="U507" s="52"/>
      <c r="V507" s="52"/>
      <c r="W507" s="52"/>
      <c r="X507" s="52"/>
      <c r="Y507" s="52"/>
      <c r="Z507" s="52"/>
    </row>
    <row r="508">
      <c r="A508" s="11"/>
      <c r="B508" s="89"/>
      <c r="C508" s="11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69"/>
      <c r="Q508" s="4"/>
      <c r="R508" s="52"/>
      <c r="S508" s="52"/>
      <c r="T508" s="52"/>
      <c r="U508" s="52"/>
      <c r="V508" s="52"/>
      <c r="W508" s="52"/>
      <c r="X508" s="52"/>
      <c r="Y508" s="52"/>
      <c r="Z508" s="52"/>
    </row>
    <row r="509">
      <c r="A509" s="11"/>
      <c r="B509" s="89"/>
      <c r="C509" s="11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69"/>
      <c r="Q509" s="4"/>
      <c r="R509" s="52"/>
      <c r="S509" s="52"/>
      <c r="T509" s="52"/>
      <c r="U509" s="52"/>
      <c r="V509" s="52"/>
      <c r="W509" s="52"/>
      <c r="X509" s="52"/>
      <c r="Y509" s="52"/>
      <c r="Z509" s="52"/>
    </row>
    <row r="510">
      <c r="A510" s="11"/>
      <c r="B510" s="89"/>
      <c r="C510" s="11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69"/>
      <c r="Q510" s="4"/>
      <c r="R510" s="52"/>
      <c r="S510" s="52"/>
      <c r="T510" s="52"/>
      <c r="U510" s="52"/>
      <c r="V510" s="52"/>
      <c r="W510" s="52"/>
      <c r="X510" s="52"/>
      <c r="Y510" s="52"/>
      <c r="Z510" s="52"/>
    </row>
    <row r="511">
      <c r="A511" s="11"/>
      <c r="B511" s="89"/>
      <c r="C511" s="11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69"/>
      <c r="Q511" s="4"/>
      <c r="R511" s="52"/>
      <c r="S511" s="52"/>
      <c r="T511" s="52"/>
      <c r="U511" s="52"/>
      <c r="V511" s="52"/>
      <c r="W511" s="52"/>
      <c r="X511" s="52"/>
      <c r="Y511" s="52"/>
      <c r="Z511" s="52"/>
    </row>
    <row r="512">
      <c r="A512" s="11"/>
      <c r="B512" s="89"/>
      <c r="C512" s="11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69"/>
      <c r="Q512" s="4"/>
      <c r="R512" s="52"/>
      <c r="S512" s="52"/>
      <c r="T512" s="52"/>
      <c r="U512" s="52"/>
      <c r="V512" s="52"/>
      <c r="W512" s="52"/>
      <c r="X512" s="52"/>
      <c r="Y512" s="52"/>
      <c r="Z512" s="52"/>
    </row>
    <row r="513">
      <c r="A513" s="11"/>
      <c r="B513" s="89"/>
      <c r="C513" s="11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69"/>
      <c r="Q513" s="4"/>
      <c r="R513" s="52"/>
      <c r="S513" s="52"/>
      <c r="T513" s="52"/>
      <c r="U513" s="52"/>
      <c r="V513" s="52"/>
      <c r="W513" s="52"/>
      <c r="X513" s="52"/>
      <c r="Y513" s="52"/>
      <c r="Z513" s="52"/>
    </row>
    <row r="514">
      <c r="A514" s="11"/>
      <c r="B514" s="89"/>
      <c r="C514" s="11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69"/>
      <c r="Q514" s="4"/>
      <c r="R514" s="52"/>
      <c r="S514" s="52"/>
      <c r="T514" s="52"/>
      <c r="U514" s="52"/>
      <c r="V514" s="52"/>
      <c r="W514" s="52"/>
      <c r="X514" s="52"/>
      <c r="Y514" s="52"/>
      <c r="Z514" s="52"/>
    </row>
    <row r="515">
      <c r="A515" s="11"/>
      <c r="B515" s="89"/>
      <c r="C515" s="11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69"/>
      <c r="Q515" s="4"/>
      <c r="R515" s="52"/>
      <c r="S515" s="52"/>
      <c r="T515" s="52"/>
      <c r="U515" s="52"/>
      <c r="V515" s="52"/>
      <c r="W515" s="52"/>
      <c r="X515" s="52"/>
      <c r="Y515" s="52"/>
      <c r="Z515" s="52"/>
    </row>
    <row r="516">
      <c r="A516" s="11"/>
      <c r="B516" s="89"/>
      <c r="C516" s="11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69"/>
      <c r="Q516" s="4"/>
      <c r="R516" s="52"/>
      <c r="S516" s="52"/>
      <c r="T516" s="52"/>
      <c r="U516" s="52"/>
      <c r="V516" s="52"/>
      <c r="W516" s="52"/>
      <c r="X516" s="52"/>
      <c r="Y516" s="52"/>
      <c r="Z516" s="52"/>
    </row>
    <row r="517">
      <c r="A517" s="11"/>
      <c r="B517" s="89"/>
      <c r="C517" s="11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69"/>
      <c r="Q517" s="4"/>
      <c r="R517" s="52"/>
      <c r="S517" s="52"/>
      <c r="T517" s="52"/>
      <c r="U517" s="52"/>
      <c r="V517" s="52"/>
      <c r="W517" s="52"/>
      <c r="X517" s="52"/>
      <c r="Y517" s="52"/>
      <c r="Z517" s="52"/>
    </row>
    <row r="518">
      <c r="A518" s="11"/>
      <c r="B518" s="89"/>
      <c r="C518" s="11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69"/>
      <c r="Q518" s="4"/>
      <c r="R518" s="52"/>
      <c r="S518" s="52"/>
      <c r="T518" s="52"/>
      <c r="U518" s="52"/>
      <c r="V518" s="52"/>
      <c r="W518" s="52"/>
      <c r="X518" s="52"/>
      <c r="Y518" s="52"/>
      <c r="Z518" s="52"/>
    </row>
    <row r="519">
      <c r="A519" s="11"/>
      <c r="B519" s="89"/>
      <c r="C519" s="11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69"/>
      <c r="Q519" s="4"/>
      <c r="R519" s="52"/>
      <c r="S519" s="52"/>
      <c r="T519" s="52"/>
      <c r="U519" s="52"/>
      <c r="V519" s="52"/>
      <c r="W519" s="52"/>
      <c r="X519" s="52"/>
      <c r="Y519" s="52"/>
      <c r="Z519" s="52"/>
    </row>
    <row r="520">
      <c r="A520" s="11"/>
      <c r="B520" s="89"/>
      <c r="C520" s="11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69"/>
      <c r="Q520" s="4"/>
      <c r="R520" s="52"/>
      <c r="S520" s="52"/>
      <c r="T520" s="52"/>
      <c r="U520" s="52"/>
      <c r="V520" s="52"/>
      <c r="W520" s="52"/>
      <c r="X520" s="52"/>
      <c r="Y520" s="52"/>
      <c r="Z520" s="52"/>
    </row>
    <row r="521">
      <c r="A521" s="11"/>
      <c r="B521" s="89"/>
      <c r="C521" s="11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69"/>
      <c r="Q521" s="4"/>
      <c r="R521" s="52"/>
      <c r="S521" s="52"/>
      <c r="T521" s="52"/>
      <c r="U521" s="52"/>
      <c r="V521" s="52"/>
      <c r="W521" s="52"/>
      <c r="X521" s="52"/>
      <c r="Y521" s="52"/>
      <c r="Z521" s="52"/>
    </row>
    <row r="522">
      <c r="A522" s="11"/>
      <c r="B522" s="89"/>
      <c r="C522" s="11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69"/>
      <c r="Q522" s="4"/>
      <c r="R522" s="52"/>
      <c r="S522" s="52"/>
      <c r="T522" s="52"/>
      <c r="U522" s="52"/>
      <c r="V522" s="52"/>
      <c r="W522" s="52"/>
      <c r="X522" s="52"/>
      <c r="Y522" s="52"/>
      <c r="Z522" s="52"/>
    </row>
    <row r="523">
      <c r="A523" s="11"/>
      <c r="B523" s="89"/>
      <c r="C523" s="11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69"/>
      <c r="Q523" s="4"/>
      <c r="R523" s="52"/>
      <c r="S523" s="52"/>
      <c r="T523" s="52"/>
      <c r="U523" s="52"/>
      <c r="V523" s="52"/>
      <c r="W523" s="52"/>
      <c r="X523" s="52"/>
      <c r="Y523" s="52"/>
      <c r="Z523" s="52"/>
    </row>
    <row r="524">
      <c r="A524" s="11"/>
      <c r="B524" s="89"/>
      <c r="C524" s="11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69"/>
      <c r="Q524" s="4"/>
      <c r="R524" s="52"/>
      <c r="S524" s="52"/>
      <c r="T524" s="52"/>
      <c r="U524" s="52"/>
      <c r="V524" s="52"/>
      <c r="W524" s="52"/>
      <c r="X524" s="52"/>
      <c r="Y524" s="52"/>
      <c r="Z524" s="52"/>
    </row>
    <row r="525">
      <c r="A525" s="11"/>
      <c r="B525" s="89"/>
      <c r="C525" s="11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69"/>
      <c r="Q525" s="4"/>
      <c r="R525" s="52"/>
      <c r="S525" s="52"/>
      <c r="T525" s="52"/>
      <c r="U525" s="52"/>
      <c r="V525" s="52"/>
      <c r="W525" s="52"/>
      <c r="X525" s="52"/>
      <c r="Y525" s="52"/>
      <c r="Z525" s="52"/>
    </row>
    <row r="526">
      <c r="A526" s="11"/>
      <c r="B526" s="89"/>
      <c r="C526" s="11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69"/>
      <c r="Q526" s="4"/>
      <c r="R526" s="52"/>
      <c r="S526" s="52"/>
      <c r="T526" s="52"/>
      <c r="U526" s="52"/>
      <c r="V526" s="52"/>
      <c r="W526" s="52"/>
      <c r="X526" s="52"/>
      <c r="Y526" s="52"/>
      <c r="Z526" s="52"/>
    </row>
    <row r="527">
      <c r="A527" s="11"/>
      <c r="B527" s="89"/>
      <c r="C527" s="11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69"/>
      <c r="Q527" s="4"/>
      <c r="R527" s="52"/>
      <c r="S527" s="52"/>
      <c r="T527" s="52"/>
      <c r="U527" s="52"/>
      <c r="V527" s="52"/>
      <c r="W527" s="52"/>
      <c r="X527" s="52"/>
      <c r="Y527" s="52"/>
      <c r="Z527" s="52"/>
    </row>
    <row r="528">
      <c r="A528" s="11"/>
      <c r="B528" s="89"/>
      <c r="C528" s="11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69"/>
      <c r="Q528" s="4"/>
      <c r="R528" s="52"/>
      <c r="S528" s="52"/>
      <c r="T528" s="52"/>
      <c r="U528" s="52"/>
      <c r="V528" s="52"/>
      <c r="W528" s="52"/>
      <c r="X528" s="52"/>
      <c r="Y528" s="52"/>
      <c r="Z528" s="52"/>
    </row>
    <row r="529">
      <c r="A529" s="11"/>
      <c r="B529" s="89"/>
      <c r="C529" s="11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69"/>
      <c r="Q529" s="4"/>
      <c r="R529" s="52"/>
      <c r="S529" s="52"/>
      <c r="T529" s="52"/>
      <c r="U529" s="52"/>
      <c r="V529" s="52"/>
      <c r="W529" s="52"/>
      <c r="X529" s="52"/>
      <c r="Y529" s="52"/>
      <c r="Z529" s="52"/>
    </row>
    <row r="530">
      <c r="A530" s="11"/>
      <c r="B530" s="89"/>
      <c r="C530" s="11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69"/>
      <c r="Q530" s="4"/>
      <c r="R530" s="52"/>
      <c r="S530" s="52"/>
      <c r="T530" s="52"/>
      <c r="U530" s="52"/>
      <c r="V530" s="52"/>
      <c r="W530" s="52"/>
      <c r="X530" s="52"/>
      <c r="Y530" s="52"/>
      <c r="Z530" s="52"/>
    </row>
    <row r="531">
      <c r="A531" s="11"/>
      <c r="B531" s="89"/>
      <c r="C531" s="11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69"/>
      <c r="Q531" s="4"/>
      <c r="R531" s="52"/>
      <c r="S531" s="52"/>
      <c r="T531" s="52"/>
      <c r="U531" s="52"/>
      <c r="V531" s="52"/>
      <c r="W531" s="52"/>
      <c r="X531" s="52"/>
      <c r="Y531" s="52"/>
      <c r="Z531" s="52"/>
    </row>
    <row r="532">
      <c r="A532" s="11"/>
      <c r="B532" s="89"/>
      <c r="C532" s="11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69"/>
      <c r="Q532" s="4"/>
      <c r="R532" s="52"/>
      <c r="S532" s="52"/>
      <c r="T532" s="52"/>
      <c r="U532" s="52"/>
      <c r="V532" s="52"/>
      <c r="W532" s="52"/>
      <c r="X532" s="52"/>
      <c r="Y532" s="52"/>
      <c r="Z532" s="52"/>
    </row>
    <row r="533">
      <c r="A533" s="11"/>
      <c r="B533" s="89"/>
      <c r="C533" s="11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69"/>
      <c r="Q533" s="4"/>
      <c r="R533" s="52"/>
      <c r="S533" s="52"/>
      <c r="T533" s="52"/>
      <c r="U533" s="52"/>
      <c r="V533" s="52"/>
      <c r="W533" s="52"/>
      <c r="X533" s="52"/>
      <c r="Y533" s="52"/>
      <c r="Z533" s="52"/>
    </row>
    <row r="534">
      <c r="A534" s="11"/>
      <c r="B534" s="89"/>
      <c r="C534" s="11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69"/>
      <c r="Q534" s="4"/>
      <c r="R534" s="52"/>
      <c r="S534" s="52"/>
      <c r="T534" s="52"/>
      <c r="U534" s="52"/>
      <c r="V534" s="52"/>
      <c r="W534" s="52"/>
      <c r="X534" s="52"/>
      <c r="Y534" s="52"/>
      <c r="Z534" s="52"/>
    </row>
    <row r="535">
      <c r="A535" s="11"/>
      <c r="B535" s="89"/>
      <c r="C535" s="11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69"/>
      <c r="Q535" s="4"/>
      <c r="R535" s="52"/>
      <c r="S535" s="52"/>
      <c r="T535" s="52"/>
      <c r="U535" s="52"/>
      <c r="V535" s="52"/>
      <c r="W535" s="52"/>
      <c r="X535" s="52"/>
      <c r="Y535" s="52"/>
      <c r="Z535" s="52"/>
    </row>
    <row r="536">
      <c r="A536" s="11"/>
      <c r="B536" s="89"/>
      <c r="C536" s="11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69"/>
      <c r="Q536" s="4"/>
      <c r="R536" s="52"/>
      <c r="S536" s="52"/>
      <c r="T536" s="52"/>
      <c r="U536" s="52"/>
      <c r="V536" s="52"/>
      <c r="W536" s="52"/>
      <c r="X536" s="52"/>
      <c r="Y536" s="52"/>
      <c r="Z536" s="52"/>
    </row>
    <row r="537">
      <c r="A537" s="11"/>
      <c r="B537" s="89"/>
      <c r="C537" s="11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69"/>
      <c r="Q537" s="4"/>
      <c r="R537" s="52"/>
      <c r="S537" s="52"/>
      <c r="T537" s="52"/>
      <c r="U537" s="52"/>
      <c r="V537" s="52"/>
      <c r="W537" s="52"/>
      <c r="X537" s="52"/>
      <c r="Y537" s="52"/>
      <c r="Z537" s="52"/>
    </row>
    <row r="538">
      <c r="A538" s="11"/>
      <c r="B538" s="89"/>
      <c r="C538" s="11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69"/>
      <c r="Q538" s="4"/>
      <c r="R538" s="52"/>
      <c r="S538" s="52"/>
      <c r="T538" s="52"/>
      <c r="U538" s="52"/>
      <c r="V538" s="52"/>
      <c r="W538" s="52"/>
      <c r="X538" s="52"/>
      <c r="Y538" s="52"/>
      <c r="Z538" s="52"/>
    </row>
    <row r="539">
      <c r="A539" s="11"/>
      <c r="B539" s="89"/>
      <c r="C539" s="11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69"/>
      <c r="Q539" s="4"/>
      <c r="R539" s="52"/>
      <c r="S539" s="52"/>
      <c r="T539" s="52"/>
      <c r="U539" s="52"/>
      <c r="V539" s="52"/>
      <c r="W539" s="52"/>
      <c r="X539" s="52"/>
      <c r="Y539" s="52"/>
      <c r="Z539" s="52"/>
    </row>
    <row r="540">
      <c r="A540" s="11"/>
      <c r="B540" s="89"/>
      <c r="C540" s="11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69"/>
      <c r="Q540" s="4"/>
      <c r="R540" s="52"/>
      <c r="S540" s="52"/>
      <c r="T540" s="52"/>
      <c r="U540" s="52"/>
      <c r="V540" s="52"/>
      <c r="W540" s="52"/>
      <c r="X540" s="52"/>
      <c r="Y540" s="52"/>
      <c r="Z540" s="52"/>
    </row>
    <row r="541">
      <c r="A541" s="11"/>
      <c r="B541" s="89"/>
      <c r="C541" s="11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69"/>
      <c r="Q541" s="4"/>
      <c r="R541" s="52"/>
      <c r="S541" s="52"/>
      <c r="T541" s="52"/>
      <c r="U541" s="52"/>
      <c r="V541" s="52"/>
      <c r="W541" s="52"/>
      <c r="X541" s="52"/>
      <c r="Y541" s="52"/>
      <c r="Z541" s="52"/>
    </row>
    <row r="542">
      <c r="A542" s="11"/>
      <c r="B542" s="89"/>
      <c r="C542" s="11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69"/>
      <c r="Q542" s="4"/>
      <c r="R542" s="52"/>
      <c r="S542" s="52"/>
      <c r="T542" s="52"/>
      <c r="U542" s="52"/>
      <c r="V542" s="52"/>
      <c r="W542" s="52"/>
      <c r="X542" s="52"/>
      <c r="Y542" s="52"/>
      <c r="Z542" s="52"/>
    </row>
    <row r="543">
      <c r="A543" s="11"/>
      <c r="B543" s="89"/>
      <c r="C543" s="11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69"/>
      <c r="Q543" s="4"/>
      <c r="R543" s="52"/>
      <c r="S543" s="52"/>
      <c r="T543" s="52"/>
      <c r="U543" s="52"/>
      <c r="V543" s="52"/>
      <c r="W543" s="52"/>
      <c r="X543" s="52"/>
      <c r="Y543" s="52"/>
      <c r="Z543" s="52"/>
    </row>
    <row r="544">
      <c r="A544" s="11"/>
      <c r="B544" s="89"/>
      <c r="C544" s="11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69"/>
      <c r="Q544" s="4"/>
      <c r="R544" s="52"/>
      <c r="S544" s="52"/>
      <c r="T544" s="52"/>
      <c r="U544" s="52"/>
      <c r="V544" s="52"/>
      <c r="W544" s="52"/>
      <c r="X544" s="52"/>
      <c r="Y544" s="52"/>
      <c r="Z544" s="52"/>
    </row>
    <row r="545">
      <c r="A545" s="11"/>
      <c r="B545" s="89"/>
      <c r="C545" s="11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69"/>
      <c r="Q545" s="4"/>
      <c r="R545" s="52"/>
      <c r="S545" s="52"/>
      <c r="T545" s="52"/>
      <c r="U545" s="52"/>
      <c r="V545" s="52"/>
      <c r="W545" s="52"/>
      <c r="X545" s="52"/>
      <c r="Y545" s="52"/>
      <c r="Z545" s="52"/>
    </row>
    <row r="546">
      <c r="A546" s="11"/>
      <c r="B546" s="89"/>
      <c r="C546" s="11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69"/>
      <c r="Q546" s="4"/>
      <c r="R546" s="52"/>
      <c r="S546" s="52"/>
      <c r="T546" s="52"/>
      <c r="U546" s="52"/>
      <c r="V546" s="52"/>
      <c r="W546" s="52"/>
      <c r="X546" s="52"/>
      <c r="Y546" s="52"/>
      <c r="Z546" s="52"/>
    </row>
    <row r="547">
      <c r="A547" s="11"/>
      <c r="B547" s="89"/>
      <c r="C547" s="11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69"/>
      <c r="Q547" s="4"/>
      <c r="R547" s="52"/>
      <c r="S547" s="52"/>
      <c r="T547" s="52"/>
      <c r="U547" s="52"/>
      <c r="V547" s="52"/>
      <c r="W547" s="52"/>
      <c r="X547" s="52"/>
      <c r="Y547" s="52"/>
      <c r="Z547" s="52"/>
    </row>
    <row r="548">
      <c r="A548" s="11"/>
      <c r="B548" s="89"/>
      <c r="C548" s="11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69"/>
      <c r="Q548" s="4"/>
      <c r="R548" s="52"/>
      <c r="S548" s="52"/>
      <c r="T548" s="52"/>
      <c r="U548" s="52"/>
      <c r="V548" s="52"/>
      <c r="W548" s="52"/>
      <c r="X548" s="52"/>
      <c r="Y548" s="52"/>
      <c r="Z548" s="52"/>
    </row>
    <row r="549">
      <c r="A549" s="11"/>
      <c r="B549" s="89"/>
      <c r="C549" s="11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69"/>
      <c r="Q549" s="4"/>
      <c r="R549" s="52"/>
      <c r="S549" s="52"/>
      <c r="T549" s="52"/>
      <c r="U549" s="52"/>
      <c r="V549" s="52"/>
      <c r="W549" s="52"/>
      <c r="X549" s="52"/>
      <c r="Y549" s="52"/>
      <c r="Z549" s="52"/>
    </row>
    <row r="550">
      <c r="A550" s="11"/>
      <c r="B550" s="89"/>
      <c r="C550" s="11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69"/>
      <c r="Q550" s="4"/>
      <c r="R550" s="52"/>
      <c r="S550" s="52"/>
      <c r="T550" s="52"/>
      <c r="U550" s="52"/>
      <c r="V550" s="52"/>
      <c r="W550" s="52"/>
      <c r="X550" s="52"/>
      <c r="Y550" s="52"/>
      <c r="Z550" s="52"/>
    </row>
    <row r="551">
      <c r="A551" s="11"/>
      <c r="B551" s="89"/>
      <c r="C551" s="11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69"/>
      <c r="Q551" s="4"/>
      <c r="R551" s="52"/>
      <c r="S551" s="52"/>
      <c r="T551" s="52"/>
      <c r="U551" s="52"/>
      <c r="V551" s="52"/>
      <c r="W551" s="52"/>
      <c r="X551" s="52"/>
      <c r="Y551" s="52"/>
      <c r="Z551" s="52"/>
    </row>
    <row r="552">
      <c r="A552" s="11"/>
      <c r="B552" s="89"/>
      <c r="C552" s="11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69"/>
      <c r="Q552" s="4"/>
      <c r="R552" s="52"/>
      <c r="S552" s="52"/>
      <c r="T552" s="52"/>
      <c r="U552" s="52"/>
      <c r="V552" s="52"/>
      <c r="W552" s="52"/>
      <c r="X552" s="52"/>
      <c r="Y552" s="52"/>
      <c r="Z552" s="52"/>
    </row>
    <row r="553">
      <c r="A553" s="11"/>
      <c r="B553" s="89"/>
      <c r="C553" s="11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69"/>
      <c r="Q553" s="4"/>
      <c r="R553" s="52"/>
      <c r="S553" s="52"/>
      <c r="T553" s="52"/>
      <c r="U553" s="52"/>
      <c r="V553" s="52"/>
      <c r="W553" s="52"/>
      <c r="X553" s="52"/>
      <c r="Y553" s="52"/>
      <c r="Z553" s="52"/>
    </row>
    <row r="554">
      <c r="A554" s="11"/>
      <c r="B554" s="89"/>
      <c r="C554" s="11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69"/>
      <c r="Q554" s="4"/>
      <c r="R554" s="52"/>
      <c r="S554" s="52"/>
      <c r="T554" s="52"/>
      <c r="U554" s="52"/>
      <c r="V554" s="52"/>
      <c r="W554" s="52"/>
      <c r="X554" s="52"/>
      <c r="Y554" s="52"/>
      <c r="Z554" s="52"/>
    </row>
    <row r="555">
      <c r="A555" s="11"/>
      <c r="B555" s="89"/>
      <c r="C555" s="11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69"/>
      <c r="Q555" s="4"/>
      <c r="R555" s="52"/>
      <c r="S555" s="52"/>
      <c r="T555" s="52"/>
      <c r="U555" s="52"/>
      <c r="V555" s="52"/>
      <c r="W555" s="52"/>
      <c r="X555" s="52"/>
      <c r="Y555" s="52"/>
      <c r="Z555" s="52"/>
    </row>
    <row r="556">
      <c r="A556" s="11"/>
      <c r="B556" s="89"/>
      <c r="C556" s="11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69"/>
      <c r="Q556" s="4"/>
      <c r="R556" s="52"/>
      <c r="S556" s="52"/>
      <c r="T556" s="52"/>
      <c r="U556" s="52"/>
      <c r="V556" s="52"/>
      <c r="W556" s="52"/>
      <c r="X556" s="52"/>
      <c r="Y556" s="52"/>
      <c r="Z556" s="52"/>
    </row>
    <row r="557">
      <c r="A557" s="11"/>
      <c r="B557" s="89"/>
      <c r="C557" s="11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69"/>
      <c r="Q557" s="4"/>
      <c r="R557" s="52"/>
      <c r="S557" s="52"/>
      <c r="T557" s="52"/>
      <c r="U557" s="52"/>
      <c r="V557" s="52"/>
      <c r="W557" s="52"/>
      <c r="X557" s="52"/>
      <c r="Y557" s="52"/>
      <c r="Z557" s="52"/>
    </row>
    <row r="558">
      <c r="A558" s="11"/>
      <c r="B558" s="89"/>
      <c r="C558" s="11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69"/>
      <c r="Q558" s="4"/>
      <c r="R558" s="52"/>
      <c r="S558" s="52"/>
      <c r="T558" s="52"/>
      <c r="U558" s="52"/>
      <c r="V558" s="52"/>
      <c r="W558" s="52"/>
      <c r="X558" s="52"/>
      <c r="Y558" s="52"/>
      <c r="Z558" s="52"/>
    </row>
    <row r="559">
      <c r="A559" s="11"/>
      <c r="B559" s="89"/>
      <c r="C559" s="11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69"/>
      <c r="Q559" s="4"/>
      <c r="R559" s="52"/>
      <c r="S559" s="52"/>
      <c r="T559" s="52"/>
      <c r="U559" s="52"/>
      <c r="V559" s="52"/>
      <c r="W559" s="52"/>
      <c r="X559" s="52"/>
      <c r="Y559" s="52"/>
      <c r="Z559" s="52"/>
    </row>
    <row r="560">
      <c r="A560" s="11"/>
      <c r="B560" s="89"/>
      <c r="C560" s="11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69"/>
      <c r="Q560" s="4"/>
      <c r="R560" s="52"/>
      <c r="S560" s="52"/>
      <c r="T560" s="52"/>
      <c r="U560" s="52"/>
      <c r="V560" s="52"/>
      <c r="W560" s="52"/>
      <c r="X560" s="52"/>
      <c r="Y560" s="52"/>
      <c r="Z560" s="52"/>
    </row>
    <row r="561">
      <c r="A561" s="11"/>
      <c r="B561" s="89"/>
      <c r="C561" s="11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69"/>
      <c r="Q561" s="4"/>
      <c r="R561" s="52"/>
      <c r="S561" s="52"/>
      <c r="T561" s="52"/>
      <c r="U561" s="52"/>
      <c r="V561" s="52"/>
      <c r="W561" s="52"/>
      <c r="X561" s="52"/>
      <c r="Y561" s="52"/>
      <c r="Z561" s="52"/>
    </row>
    <row r="562">
      <c r="A562" s="11"/>
      <c r="B562" s="89"/>
      <c r="C562" s="11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69"/>
      <c r="Q562" s="4"/>
      <c r="R562" s="52"/>
      <c r="S562" s="52"/>
      <c r="T562" s="52"/>
      <c r="U562" s="52"/>
      <c r="V562" s="52"/>
      <c r="W562" s="52"/>
      <c r="X562" s="52"/>
      <c r="Y562" s="52"/>
      <c r="Z562" s="52"/>
    </row>
    <row r="563">
      <c r="A563" s="11"/>
      <c r="B563" s="89"/>
      <c r="C563" s="11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69"/>
      <c r="Q563" s="4"/>
      <c r="R563" s="52"/>
      <c r="S563" s="52"/>
      <c r="T563" s="52"/>
      <c r="U563" s="52"/>
      <c r="V563" s="52"/>
      <c r="W563" s="52"/>
      <c r="X563" s="52"/>
      <c r="Y563" s="52"/>
      <c r="Z563" s="52"/>
    </row>
    <row r="564">
      <c r="A564" s="11"/>
      <c r="B564" s="89"/>
      <c r="C564" s="11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69"/>
      <c r="Q564" s="4"/>
      <c r="R564" s="52"/>
      <c r="S564" s="52"/>
      <c r="T564" s="52"/>
      <c r="U564" s="52"/>
      <c r="V564" s="52"/>
      <c r="W564" s="52"/>
      <c r="X564" s="52"/>
      <c r="Y564" s="52"/>
      <c r="Z564" s="52"/>
    </row>
    <row r="565">
      <c r="A565" s="11"/>
      <c r="B565" s="89"/>
      <c r="C565" s="11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69"/>
      <c r="Q565" s="4"/>
      <c r="R565" s="52"/>
      <c r="S565" s="52"/>
      <c r="T565" s="52"/>
      <c r="U565" s="52"/>
      <c r="V565" s="52"/>
      <c r="W565" s="52"/>
      <c r="X565" s="52"/>
      <c r="Y565" s="52"/>
      <c r="Z565" s="52"/>
    </row>
    <row r="566">
      <c r="A566" s="11"/>
      <c r="B566" s="89"/>
      <c r="C566" s="11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69"/>
      <c r="Q566" s="4"/>
      <c r="R566" s="52"/>
      <c r="S566" s="52"/>
      <c r="T566" s="52"/>
      <c r="U566" s="52"/>
      <c r="V566" s="52"/>
      <c r="W566" s="52"/>
      <c r="X566" s="52"/>
      <c r="Y566" s="52"/>
      <c r="Z566" s="52"/>
    </row>
    <row r="567">
      <c r="A567" s="11"/>
      <c r="B567" s="89"/>
      <c r="C567" s="11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69"/>
      <c r="Q567" s="4"/>
      <c r="R567" s="52"/>
      <c r="S567" s="52"/>
      <c r="T567" s="52"/>
      <c r="U567" s="52"/>
      <c r="V567" s="52"/>
      <c r="W567" s="52"/>
      <c r="X567" s="52"/>
      <c r="Y567" s="52"/>
      <c r="Z567" s="52"/>
    </row>
    <row r="568">
      <c r="A568" s="11"/>
      <c r="B568" s="89"/>
      <c r="C568" s="11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69"/>
      <c r="Q568" s="4"/>
      <c r="R568" s="52"/>
      <c r="S568" s="52"/>
      <c r="T568" s="52"/>
      <c r="U568" s="52"/>
      <c r="V568" s="52"/>
      <c r="W568" s="52"/>
      <c r="X568" s="52"/>
      <c r="Y568" s="52"/>
      <c r="Z568" s="52"/>
    </row>
    <row r="569">
      <c r="A569" s="11"/>
      <c r="B569" s="89"/>
      <c r="C569" s="11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69"/>
      <c r="Q569" s="4"/>
      <c r="R569" s="52"/>
      <c r="S569" s="52"/>
      <c r="T569" s="52"/>
      <c r="U569" s="52"/>
      <c r="V569" s="52"/>
      <c r="W569" s="52"/>
      <c r="X569" s="52"/>
      <c r="Y569" s="52"/>
      <c r="Z569" s="52"/>
    </row>
    <row r="570">
      <c r="A570" s="11"/>
      <c r="B570" s="89"/>
      <c r="C570" s="11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69"/>
      <c r="Q570" s="4"/>
      <c r="R570" s="52"/>
      <c r="S570" s="52"/>
      <c r="T570" s="52"/>
      <c r="U570" s="52"/>
      <c r="V570" s="52"/>
      <c r="W570" s="52"/>
      <c r="X570" s="52"/>
      <c r="Y570" s="52"/>
      <c r="Z570" s="52"/>
    </row>
    <row r="571">
      <c r="A571" s="11"/>
      <c r="B571" s="89"/>
      <c r="C571" s="11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69"/>
      <c r="Q571" s="4"/>
      <c r="R571" s="52"/>
      <c r="S571" s="52"/>
      <c r="T571" s="52"/>
      <c r="U571" s="52"/>
      <c r="V571" s="52"/>
      <c r="W571" s="52"/>
      <c r="X571" s="52"/>
      <c r="Y571" s="52"/>
      <c r="Z571" s="52"/>
    </row>
    <row r="572">
      <c r="A572" s="11"/>
      <c r="B572" s="89"/>
      <c r="C572" s="11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69"/>
      <c r="Q572" s="4"/>
      <c r="R572" s="52"/>
      <c r="S572" s="52"/>
      <c r="T572" s="52"/>
      <c r="U572" s="52"/>
      <c r="V572" s="52"/>
      <c r="W572" s="52"/>
      <c r="X572" s="52"/>
      <c r="Y572" s="52"/>
      <c r="Z572" s="52"/>
    </row>
    <row r="573">
      <c r="A573" s="11"/>
      <c r="B573" s="89"/>
      <c r="C573" s="11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69"/>
      <c r="Q573" s="4"/>
      <c r="R573" s="52"/>
      <c r="S573" s="52"/>
      <c r="T573" s="52"/>
      <c r="U573" s="52"/>
      <c r="V573" s="52"/>
      <c r="W573" s="52"/>
      <c r="X573" s="52"/>
      <c r="Y573" s="52"/>
      <c r="Z573" s="52"/>
    </row>
    <row r="574">
      <c r="A574" s="11"/>
      <c r="B574" s="89"/>
      <c r="C574" s="11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69"/>
      <c r="Q574" s="4"/>
      <c r="R574" s="52"/>
      <c r="S574" s="52"/>
      <c r="T574" s="52"/>
      <c r="U574" s="52"/>
      <c r="V574" s="52"/>
      <c r="W574" s="52"/>
      <c r="X574" s="52"/>
      <c r="Y574" s="52"/>
      <c r="Z574" s="52"/>
    </row>
    <row r="575">
      <c r="A575" s="11"/>
      <c r="B575" s="89"/>
      <c r="C575" s="11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69"/>
      <c r="Q575" s="4"/>
      <c r="R575" s="52"/>
      <c r="S575" s="52"/>
      <c r="T575" s="52"/>
      <c r="U575" s="52"/>
      <c r="V575" s="52"/>
      <c r="W575" s="52"/>
      <c r="X575" s="52"/>
      <c r="Y575" s="52"/>
      <c r="Z575" s="52"/>
    </row>
    <row r="576">
      <c r="A576" s="11"/>
      <c r="B576" s="89"/>
      <c r="C576" s="11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69"/>
      <c r="Q576" s="4"/>
      <c r="R576" s="52"/>
      <c r="S576" s="52"/>
      <c r="T576" s="52"/>
      <c r="U576" s="52"/>
      <c r="V576" s="52"/>
      <c r="W576" s="52"/>
      <c r="X576" s="52"/>
      <c r="Y576" s="52"/>
      <c r="Z576" s="52"/>
    </row>
    <row r="577">
      <c r="A577" s="11"/>
      <c r="B577" s="89"/>
      <c r="C577" s="11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69"/>
      <c r="Q577" s="4"/>
      <c r="R577" s="52"/>
      <c r="S577" s="52"/>
      <c r="T577" s="52"/>
      <c r="U577" s="52"/>
      <c r="V577" s="52"/>
      <c r="W577" s="52"/>
      <c r="X577" s="52"/>
      <c r="Y577" s="52"/>
      <c r="Z577" s="52"/>
    </row>
    <row r="578">
      <c r="A578" s="11"/>
      <c r="B578" s="89"/>
      <c r="C578" s="11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69"/>
      <c r="Q578" s="4"/>
      <c r="R578" s="52"/>
      <c r="S578" s="52"/>
      <c r="T578" s="52"/>
      <c r="U578" s="52"/>
      <c r="V578" s="52"/>
      <c r="W578" s="52"/>
      <c r="X578" s="52"/>
      <c r="Y578" s="52"/>
      <c r="Z578" s="52"/>
    </row>
    <row r="579">
      <c r="A579" s="11"/>
      <c r="B579" s="89"/>
      <c r="C579" s="11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69"/>
      <c r="Q579" s="4"/>
      <c r="R579" s="52"/>
      <c r="S579" s="52"/>
      <c r="T579" s="52"/>
      <c r="U579" s="52"/>
      <c r="V579" s="52"/>
      <c r="W579" s="52"/>
      <c r="X579" s="52"/>
      <c r="Y579" s="52"/>
      <c r="Z579" s="52"/>
    </row>
    <row r="580">
      <c r="A580" s="11"/>
      <c r="B580" s="89"/>
      <c r="C580" s="11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69"/>
      <c r="Q580" s="4"/>
      <c r="R580" s="52"/>
      <c r="S580" s="52"/>
      <c r="T580" s="52"/>
      <c r="U580" s="52"/>
      <c r="V580" s="52"/>
      <c r="W580" s="52"/>
      <c r="X580" s="52"/>
      <c r="Y580" s="52"/>
      <c r="Z580" s="52"/>
    </row>
    <row r="581">
      <c r="A581" s="11"/>
      <c r="B581" s="89"/>
      <c r="C581" s="11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69"/>
      <c r="Q581" s="4"/>
      <c r="R581" s="52"/>
      <c r="S581" s="52"/>
      <c r="T581" s="52"/>
      <c r="U581" s="52"/>
      <c r="V581" s="52"/>
      <c r="W581" s="52"/>
      <c r="X581" s="52"/>
      <c r="Y581" s="52"/>
      <c r="Z581" s="52"/>
    </row>
    <row r="582">
      <c r="A582" s="11"/>
      <c r="B582" s="89"/>
      <c r="C582" s="11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69"/>
      <c r="Q582" s="4"/>
      <c r="R582" s="52"/>
      <c r="S582" s="52"/>
      <c r="T582" s="52"/>
      <c r="U582" s="52"/>
      <c r="V582" s="52"/>
      <c r="W582" s="52"/>
      <c r="X582" s="52"/>
      <c r="Y582" s="52"/>
      <c r="Z582" s="52"/>
    </row>
    <row r="583">
      <c r="A583" s="11"/>
      <c r="B583" s="89"/>
      <c r="C583" s="11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69"/>
      <c r="Q583" s="4"/>
      <c r="R583" s="52"/>
      <c r="S583" s="52"/>
      <c r="T583" s="52"/>
      <c r="U583" s="52"/>
      <c r="V583" s="52"/>
      <c r="W583" s="52"/>
      <c r="X583" s="52"/>
      <c r="Y583" s="52"/>
      <c r="Z583" s="52"/>
    </row>
    <row r="584">
      <c r="A584" s="11"/>
      <c r="B584" s="89"/>
      <c r="C584" s="11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69"/>
      <c r="Q584" s="4"/>
      <c r="R584" s="52"/>
      <c r="S584" s="52"/>
      <c r="T584" s="52"/>
      <c r="U584" s="52"/>
      <c r="V584" s="52"/>
      <c r="W584" s="52"/>
      <c r="X584" s="52"/>
      <c r="Y584" s="52"/>
      <c r="Z584" s="52"/>
    </row>
    <row r="585">
      <c r="A585" s="11"/>
      <c r="B585" s="89"/>
      <c r="C585" s="11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69"/>
      <c r="Q585" s="4"/>
      <c r="R585" s="52"/>
      <c r="S585" s="52"/>
      <c r="T585" s="52"/>
      <c r="U585" s="52"/>
      <c r="V585" s="52"/>
      <c r="W585" s="52"/>
      <c r="X585" s="52"/>
      <c r="Y585" s="52"/>
      <c r="Z585" s="52"/>
    </row>
    <row r="586">
      <c r="A586" s="11"/>
      <c r="B586" s="89"/>
      <c r="C586" s="11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69"/>
      <c r="Q586" s="4"/>
      <c r="R586" s="52"/>
      <c r="S586" s="52"/>
      <c r="T586" s="52"/>
      <c r="U586" s="52"/>
      <c r="V586" s="52"/>
      <c r="W586" s="52"/>
      <c r="X586" s="52"/>
      <c r="Y586" s="52"/>
      <c r="Z586" s="52"/>
    </row>
    <row r="587">
      <c r="A587" s="11"/>
      <c r="B587" s="89"/>
      <c r="C587" s="11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69"/>
      <c r="Q587" s="4"/>
      <c r="R587" s="52"/>
      <c r="S587" s="52"/>
      <c r="T587" s="52"/>
      <c r="U587" s="52"/>
      <c r="V587" s="52"/>
      <c r="W587" s="52"/>
      <c r="X587" s="52"/>
      <c r="Y587" s="52"/>
      <c r="Z587" s="52"/>
    </row>
    <row r="588">
      <c r="A588" s="11"/>
      <c r="B588" s="89"/>
      <c r="C588" s="11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69"/>
      <c r="Q588" s="4"/>
      <c r="R588" s="52"/>
      <c r="S588" s="52"/>
      <c r="T588" s="52"/>
      <c r="U588" s="52"/>
      <c r="V588" s="52"/>
      <c r="W588" s="52"/>
      <c r="X588" s="52"/>
      <c r="Y588" s="52"/>
      <c r="Z588" s="52"/>
    </row>
    <row r="589">
      <c r="A589" s="11"/>
      <c r="B589" s="89"/>
      <c r="C589" s="11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69"/>
      <c r="Q589" s="4"/>
      <c r="R589" s="52"/>
      <c r="S589" s="52"/>
      <c r="T589" s="52"/>
      <c r="U589" s="52"/>
      <c r="V589" s="52"/>
      <c r="W589" s="52"/>
      <c r="X589" s="52"/>
      <c r="Y589" s="52"/>
      <c r="Z589" s="52"/>
    </row>
    <row r="590">
      <c r="A590" s="11"/>
      <c r="B590" s="89"/>
      <c r="C590" s="11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69"/>
      <c r="Q590" s="4"/>
      <c r="R590" s="52"/>
      <c r="S590" s="52"/>
      <c r="T590" s="52"/>
      <c r="U590" s="52"/>
      <c r="V590" s="52"/>
      <c r="W590" s="52"/>
      <c r="X590" s="52"/>
      <c r="Y590" s="52"/>
      <c r="Z590" s="52"/>
    </row>
    <row r="591">
      <c r="A591" s="11"/>
      <c r="B591" s="89"/>
      <c r="C591" s="11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69"/>
      <c r="Q591" s="4"/>
      <c r="R591" s="52"/>
      <c r="S591" s="52"/>
      <c r="T591" s="52"/>
      <c r="U591" s="52"/>
      <c r="V591" s="52"/>
      <c r="W591" s="52"/>
      <c r="X591" s="52"/>
      <c r="Y591" s="52"/>
      <c r="Z591" s="52"/>
    </row>
    <row r="592">
      <c r="A592" s="11"/>
      <c r="B592" s="89"/>
      <c r="C592" s="11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69"/>
      <c r="Q592" s="4"/>
      <c r="R592" s="52"/>
      <c r="S592" s="52"/>
      <c r="T592" s="52"/>
      <c r="U592" s="52"/>
      <c r="V592" s="52"/>
      <c r="W592" s="52"/>
      <c r="X592" s="52"/>
      <c r="Y592" s="52"/>
      <c r="Z592" s="52"/>
    </row>
    <row r="593">
      <c r="A593" s="11"/>
      <c r="B593" s="89"/>
      <c r="C593" s="11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69"/>
      <c r="Q593" s="4"/>
      <c r="R593" s="52"/>
      <c r="S593" s="52"/>
      <c r="T593" s="52"/>
      <c r="U593" s="52"/>
      <c r="V593" s="52"/>
      <c r="W593" s="52"/>
      <c r="X593" s="52"/>
      <c r="Y593" s="52"/>
      <c r="Z593" s="52"/>
    </row>
    <row r="594">
      <c r="A594" s="11"/>
      <c r="B594" s="89"/>
      <c r="C594" s="11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69"/>
      <c r="Q594" s="4"/>
      <c r="R594" s="52"/>
      <c r="S594" s="52"/>
      <c r="T594" s="52"/>
      <c r="U594" s="52"/>
      <c r="V594" s="52"/>
      <c r="W594" s="52"/>
      <c r="X594" s="52"/>
      <c r="Y594" s="52"/>
      <c r="Z594" s="52"/>
    </row>
    <row r="595">
      <c r="A595" s="11"/>
      <c r="B595" s="89"/>
      <c r="C595" s="11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69"/>
      <c r="Q595" s="4"/>
      <c r="R595" s="52"/>
      <c r="S595" s="52"/>
      <c r="T595" s="52"/>
      <c r="U595" s="52"/>
      <c r="V595" s="52"/>
      <c r="W595" s="52"/>
      <c r="X595" s="52"/>
      <c r="Y595" s="52"/>
      <c r="Z595" s="52"/>
    </row>
    <row r="596">
      <c r="A596" s="11"/>
      <c r="B596" s="89"/>
      <c r="C596" s="11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69"/>
      <c r="Q596" s="4"/>
      <c r="R596" s="52"/>
      <c r="S596" s="52"/>
      <c r="T596" s="52"/>
      <c r="U596" s="52"/>
      <c r="V596" s="52"/>
      <c r="W596" s="52"/>
      <c r="X596" s="52"/>
      <c r="Y596" s="52"/>
      <c r="Z596" s="52"/>
    </row>
    <row r="597">
      <c r="A597" s="11"/>
      <c r="B597" s="89"/>
      <c r="C597" s="11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69"/>
      <c r="Q597" s="4"/>
      <c r="R597" s="52"/>
      <c r="S597" s="52"/>
      <c r="T597" s="52"/>
      <c r="U597" s="52"/>
      <c r="V597" s="52"/>
      <c r="W597" s="52"/>
      <c r="X597" s="52"/>
      <c r="Y597" s="52"/>
      <c r="Z597" s="52"/>
    </row>
    <row r="598">
      <c r="A598" s="11"/>
      <c r="B598" s="89"/>
      <c r="C598" s="11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69"/>
      <c r="Q598" s="4"/>
      <c r="R598" s="52"/>
      <c r="S598" s="52"/>
      <c r="T598" s="52"/>
      <c r="U598" s="52"/>
      <c r="V598" s="52"/>
      <c r="W598" s="52"/>
      <c r="X598" s="52"/>
      <c r="Y598" s="52"/>
      <c r="Z598" s="52"/>
    </row>
    <row r="599">
      <c r="A599" s="11"/>
      <c r="B599" s="89"/>
      <c r="C599" s="11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69"/>
      <c r="Q599" s="4"/>
      <c r="R599" s="52"/>
      <c r="S599" s="52"/>
      <c r="T599" s="52"/>
      <c r="U599" s="52"/>
      <c r="V599" s="52"/>
      <c r="W599" s="52"/>
      <c r="X599" s="52"/>
      <c r="Y599" s="52"/>
      <c r="Z599" s="52"/>
    </row>
    <row r="600">
      <c r="A600" s="11"/>
      <c r="B600" s="89"/>
      <c r="C600" s="11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69"/>
      <c r="Q600" s="4"/>
      <c r="R600" s="52"/>
      <c r="S600" s="52"/>
      <c r="T600" s="52"/>
      <c r="U600" s="52"/>
      <c r="V600" s="52"/>
      <c r="W600" s="52"/>
      <c r="X600" s="52"/>
      <c r="Y600" s="52"/>
      <c r="Z600" s="52"/>
    </row>
    <row r="601">
      <c r="A601" s="11"/>
      <c r="B601" s="89"/>
      <c r="C601" s="11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69"/>
      <c r="Q601" s="4"/>
      <c r="R601" s="52"/>
      <c r="S601" s="52"/>
      <c r="T601" s="52"/>
      <c r="U601" s="52"/>
      <c r="V601" s="52"/>
      <c r="W601" s="52"/>
      <c r="X601" s="52"/>
      <c r="Y601" s="52"/>
      <c r="Z601" s="52"/>
    </row>
    <row r="602">
      <c r="A602" s="11"/>
      <c r="B602" s="89"/>
      <c r="C602" s="11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69"/>
      <c r="Q602" s="4"/>
      <c r="R602" s="52"/>
      <c r="S602" s="52"/>
      <c r="T602" s="52"/>
      <c r="U602" s="52"/>
      <c r="V602" s="52"/>
      <c r="W602" s="52"/>
      <c r="X602" s="52"/>
      <c r="Y602" s="52"/>
      <c r="Z602" s="52"/>
    </row>
    <row r="603">
      <c r="A603" s="11"/>
      <c r="B603" s="89"/>
      <c r="C603" s="11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69"/>
      <c r="Q603" s="4"/>
      <c r="R603" s="52"/>
      <c r="S603" s="52"/>
      <c r="T603" s="52"/>
      <c r="U603" s="52"/>
      <c r="V603" s="52"/>
      <c r="W603" s="52"/>
      <c r="X603" s="52"/>
      <c r="Y603" s="52"/>
      <c r="Z603" s="52"/>
    </row>
    <row r="604">
      <c r="A604" s="11"/>
      <c r="B604" s="89"/>
      <c r="C604" s="11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69"/>
      <c r="Q604" s="4"/>
      <c r="R604" s="52"/>
      <c r="S604" s="52"/>
      <c r="T604" s="52"/>
      <c r="U604" s="52"/>
      <c r="V604" s="52"/>
      <c r="W604" s="52"/>
      <c r="X604" s="52"/>
      <c r="Y604" s="52"/>
      <c r="Z604" s="52"/>
    </row>
    <row r="605">
      <c r="A605" s="11"/>
      <c r="B605" s="89"/>
      <c r="C605" s="11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69"/>
      <c r="Q605" s="4"/>
      <c r="R605" s="52"/>
      <c r="S605" s="52"/>
      <c r="T605" s="52"/>
      <c r="U605" s="52"/>
      <c r="V605" s="52"/>
      <c r="W605" s="52"/>
      <c r="X605" s="52"/>
      <c r="Y605" s="52"/>
      <c r="Z605" s="52"/>
    </row>
    <row r="606">
      <c r="A606" s="11"/>
      <c r="B606" s="89"/>
      <c r="C606" s="11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69"/>
      <c r="Q606" s="4"/>
      <c r="R606" s="52"/>
      <c r="S606" s="52"/>
      <c r="T606" s="52"/>
      <c r="U606" s="52"/>
      <c r="V606" s="52"/>
      <c r="W606" s="52"/>
      <c r="X606" s="52"/>
      <c r="Y606" s="52"/>
      <c r="Z606" s="52"/>
    </row>
    <row r="607">
      <c r="A607" s="11"/>
      <c r="B607" s="89"/>
      <c r="C607" s="11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69"/>
      <c r="Q607" s="4"/>
      <c r="R607" s="52"/>
      <c r="S607" s="52"/>
      <c r="T607" s="52"/>
      <c r="U607" s="52"/>
      <c r="V607" s="52"/>
      <c r="W607" s="52"/>
      <c r="X607" s="52"/>
      <c r="Y607" s="52"/>
      <c r="Z607" s="52"/>
    </row>
    <row r="608">
      <c r="A608" s="11"/>
      <c r="B608" s="89"/>
      <c r="C608" s="11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69"/>
      <c r="Q608" s="4"/>
      <c r="R608" s="52"/>
      <c r="S608" s="52"/>
      <c r="T608" s="52"/>
      <c r="U608" s="52"/>
      <c r="V608" s="52"/>
      <c r="W608" s="52"/>
      <c r="X608" s="52"/>
      <c r="Y608" s="52"/>
      <c r="Z608" s="52"/>
    </row>
    <row r="609">
      <c r="A609" s="11"/>
      <c r="B609" s="89"/>
      <c r="C609" s="11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69"/>
      <c r="Q609" s="4"/>
      <c r="R609" s="52"/>
      <c r="S609" s="52"/>
      <c r="T609" s="52"/>
      <c r="U609" s="52"/>
      <c r="V609" s="52"/>
      <c r="W609" s="52"/>
      <c r="X609" s="52"/>
      <c r="Y609" s="52"/>
      <c r="Z609" s="52"/>
    </row>
    <row r="610">
      <c r="A610" s="11"/>
      <c r="B610" s="89"/>
      <c r="C610" s="11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69"/>
      <c r="Q610" s="4"/>
      <c r="R610" s="52"/>
      <c r="S610" s="52"/>
      <c r="T610" s="52"/>
      <c r="U610" s="52"/>
      <c r="V610" s="52"/>
      <c r="W610" s="52"/>
      <c r="X610" s="52"/>
      <c r="Y610" s="52"/>
      <c r="Z610" s="52"/>
    </row>
    <row r="611">
      <c r="A611" s="11"/>
      <c r="B611" s="89"/>
      <c r="C611" s="11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69"/>
      <c r="Q611" s="4"/>
      <c r="R611" s="52"/>
      <c r="S611" s="52"/>
      <c r="T611" s="52"/>
      <c r="U611" s="52"/>
      <c r="V611" s="52"/>
      <c r="W611" s="52"/>
      <c r="X611" s="52"/>
      <c r="Y611" s="52"/>
      <c r="Z611" s="52"/>
    </row>
    <row r="612">
      <c r="A612" s="11"/>
      <c r="B612" s="89"/>
      <c r="C612" s="11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69"/>
      <c r="Q612" s="4"/>
      <c r="R612" s="52"/>
      <c r="S612" s="52"/>
      <c r="T612" s="52"/>
      <c r="U612" s="52"/>
      <c r="V612" s="52"/>
      <c r="W612" s="52"/>
      <c r="X612" s="52"/>
      <c r="Y612" s="52"/>
      <c r="Z612" s="52"/>
    </row>
    <row r="613">
      <c r="A613" s="11"/>
      <c r="B613" s="89"/>
      <c r="C613" s="11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69"/>
      <c r="Q613" s="4"/>
      <c r="R613" s="52"/>
      <c r="S613" s="52"/>
      <c r="T613" s="52"/>
      <c r="U613" s="52"/>
      <c r="V613" s="52"/>
      <c r="W613" s="52"/>
      <c r="X613" s="52"/>
      <c r="Y613" s="52"/>
      <c r="Z613" s="52"/>
    </row>
    <row r="614">
      <c r="A614" s="11"/>
      <c r="B614" s="89"/>
      <c r="C614" s="11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69"/>
      <c r="Q614" s="4"/>
      <c r="R614" s="52"/>
      <c r="S614" s="52"/>
      <c r="T614" s="52"/>
      <c r="U614" s="52"/>
      <c r="V614" s="52"/>
      <c r="W614" s="52"/>
      <c r="X614" s="52"/>
      <c r="Y614" s="52"/>
      <c r="Z614" s="52"/>
    </row>
    <row r="615">
      <c r="A615" s="11"/>
      <c r="B615" s="89"/>
      <c r="C615" s="11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69"/>
      <c r="Q615" s="4"/>
      <c r="R615" s="52"/>
      <c r="S615" s="52"/>
      <c r="T615" s="52"/>
      <c r="U615" s="52"/>
      <c r="V615" s="52"/>
      <c r="W615" s="52"/>
      <c r="X615" s="52"/>
      <c r="Y615" s="52"/>
      <c r="Z615" s="52"/>
    </row>
    <row r="616">
      <c r="A616" s="11"/>
      <c r="B616" s="89"/>
      <c r="C616" s="11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69"/>
      <c r="Q616" s="4"/>
      <c r="R616" s="52"/>
      <c r="S616" s="52"/>
      <c r="T616" s="52"/>
      <c r="U616" s="52"/>
      <c r="V616" s="52"/>
      <c r="W616" s="52"/>
      <c r="X616" s="52"/>
      <c r="Y616" s="52"/>
      <c r="Z616" s="52"/>
    </row>
    <row r="617">
      <c r="A617" s="11"/>
      <c r="B617" s="89"/>
      <c r="C617" s="11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69"/>
      <c r="Q617" s="4"/>
      <c r="R617" s="52"/>
      <c r="S617" s="52"/>
      <c r="T617" s="52"/>
      <c r="U617" s="52"/>
      <c r="V617" s="52"/>
      <c r="W617" s="52"/>
      <c r="X617" s="52"/>
      <c r="Y617" s="52"/>
      <c r="Z617" s="52"/>
    </row>
    <row r="618">
      <c r="A618" s="11"/>
      <c r="B618" s="89"/>
      <c r="C618" s="11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69"/>
      <c r="Q618" s="4"/>
      <c r="R618" s="52"/>
      <c r="S618" s="52"/>
      <c r="T618" s="52"/>
      <c r="U618" s="52"/>
      <c r="V618" s="52"/>
      <c r="W618" s="52"/>
      <c r="X618" s="52"/>
      <c r="Y618" s="52"/>
      <c r="Z618" s="52"/>
    </row>
    <row r="619">
      <c r="A619" s="11"/>
      <c r="B619" s="89"/>
      <c r="C619" s="11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69"/>
      <c r="Q619" s="4"/>
      <c r="R619" s="52"/>
      <c r="S619" s="52"/>
      <c r="T619" s="52"/>
      <c r="U619" s="52"/>
      <c r="V619" s="52"/>
      <c r="W619" s="52"/>
      <c r="X619" s="52"/>
      <c r="Y619" s="52"/>
      <c r="Z619" s="52"/>
    </row>
    <row r="620">
      <c r="A620" s="11"/>
      <c r="B620" s="89"/>
      <c r="C620" s="11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69"/>
      <c r="Q620" s="4"/>
      <c r="R620" s="52"/>
      <c r="S620" s="52"/>
      <c r="T620" s="52"/>
      <c r="U620" s="52"/>
      <c r="V620" s="52"/>
      <c r="W620" s="52"/>
      <c r="X620" s="52"/>
      <c r="Y620" s="52"/>
      <c r="Z620" s="52"/>
    </row>
    <row r="621">
      <c r="A621" s="11"/>
      <c r="B621" s="89"/>
      <c r="C621" s="11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69"/>
      <c r="Q621" s="4"/>
      <c r="R621" s="52"/>
      <c r="S621" s="52"/>
      <c r="T621" s="52"/>
      <c r="U621" s="52"/>
      <c r="V621" s="52"/>
      <c r="W621" s="52"/>
      <c r="X621" s="52"/>
      <c r="Y621" s="52"/>
      <c r="Z621" s="52"/>
    </row>
    <row r="622">
      <c r="A622" s="11"/>
      <c r="B622" s="89"/>
      <c r="C622" s="11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69"/>
      <c r="Q622" s="4"/>
      <c r="R622" s="52"/>
      <c r="S622" s="52"/>
      <c r="T622" s="52"/>
      <c r="U622" s="52"/>
      <c r="V622" s="52"/>
      <c r="W622" s="52"/>
      <c r="X622" s="52"/>
      <c r="Y622" s="52"/>
      <c r="Z622" s="52"/>
    </row>
    <row r="623">
      <c r="A623" s="11"/>
      <c r="B623" s="89"/>
      <c r="C623" s="11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69"/>
      <c r="Q623" s="4"/>
      <c r="R623" s="52"/>
      <c r="S623" s="52"/>
      <c r="T623" s="52"/>
      <c r="U623" s="52"/>
      <c r="V623" s="52"/>
      <c r="W623" s="52"/>
      <c r="X623" s="52"/>
      <c r="Y623" s="52"/>
      <c r="Z623" s="52"/>
    </row>
    <row r="624">
      <c r="A624" s="11"/>
      <c r="B624" s="89"/>
      <c r="C624" s="11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69"/>
      <c r="Q624" s="4"/>
      <c r="R624" s="52"/>
      <c r="S624" s="52"/>
      <c r="T624" s="52"/>
      <c r="U624" s="52"/>
      <c r="V624" s="52"/>
      <c r="W624" s="52"/>
      <c r="X624" s="52"/>
      <c r="Y624" s="52"/>
      <c r="Z624" s="52"/>
    </row>
    <row r="625">
      <c r="A625" s="11"/>
      <c r="B625" s="89"/>
      <c r="C625" s="11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69"/>
      <c r="Q625" s="4"/>
      <c r="R625" s="52"/>
      <c r="S625" s="52"/>
      <c r="T625" s="52"/>
      <c r="U625" s="52"/>
      <c r="V625" s="52"/>
      <c r="W625" s="52"/>
      <c r="X625" s="52"/>
      <c r="Y625" s="52"/>
      <c r="Z625" s="52"/>
    </row>
    <row r="626">
      <c r="A626" s="11"/>
      <c r="B626" s="89"/>
      <c r="C626" s="11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69"/>
      <c r="Q626" s="4"/>
      <c r="R626" s="52"/>
      <c r="S626" s="52"/>
      <c r="T626" s="52"/>
      <c r="U626" s="52"/>
      <c r="V626" s="52"/>
      <c r="W626" s="52"/>
      <c r="X626" s="52"/>
      <c r="Y626" s="52"/>
      <c r="Z626" s="52"/>
    </row>
    <row r="627">
      <c r="A627" s="11"/>
      <c r="B627" s="89"/>
      <c r="C627" s="11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69"/>
      <c r="Q627" s="4"/>
      <c r="R627" s="52"/>
      <c r="S627" s="52"/>
      <c r="T627" s="52"/>
      <c r="U627" s="52"/>
      <c r="V627" s="52"/>
      <c r="W627" s="52"/>
      <c r="X627" s="52"/>
      <c r="Y627" s="52"/>
      <c r="Z627" s="52"/>
    </row>
    <row r="628">
      <c r="A628" s="11"/>
      <c r="B628" s="89"/>
      <c r="C628" s="11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69"/>
      <c r="Q628" s="4"/>
      <c r="R628" s="52"/>
      <c r="S628" s="52"/>
      <c r="T628" s="52"/>
      <c r="U628" s="52"/>
      <c r="V628" s="52"/>
      <c r="W628" s="52"/>
      <c r="X628" s="52"/>
      <c r="Y628" s="52"/>
      <c r="Z628" s="52"/>
    </row>
    <row r="629">
      <c r="A629" s="11"/>
      <c r="B629" s="89"/>
      <c r="C629" s="11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69"/>
      <c r="Q629" s="4"/>
      <c r="R629" s="52"/>
      <c r="S629" s="52"/>
      <c r="T629" s="52"/>
      <c r="U629" s="52"/>
      <c r="V629" s="52"/>
      <c r="W629" s="52"/>
      <c r="X629" s="52"/>
      <c r="Y629" s="52"/>
      <c r="Z629" s="52"/>
    </row>
    <row r="630">
      <c r="A630" s="11"/>
      <c r="B630" s="89"/>
      <c r="C630" s="11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69"/>
      <c r="Q630" s="4"/>
      <c r="R630" s="52"/>
      <c r="S630" s="52"/>
      <c r="T630" s="52"/>
      <c r="U630" s="52"/>
      <c r="V630" s="52"/>
      <c r="W630" s="52"/>
      <c r="X630" s="52"/>
      <c r="Y630" s="52"/>
      <c r="Z630" s="52"/>
    </row>
    <row r="631">
      <c r="A631" s="11"/>
      <c r="B631" s="89"/>
      <c r="C631" s="11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69"/>
      <c r="Q631" s="4"/>
      <c r="R631" s="52"/>
      <c r="S631" s="52"/>
      <c r="T631" s="52"/>
      <c r="U631" s="52"/>
      <c r="V631" s="52"/>
      <c r="W631" s="52"/>
      <c r="X631" s="52"/>
      <c r="Y631" s="52"/>
      <c r="Z631" s="52"/>
    </row>
    <row r="632">
      <c r="A632" s="11"/>
      <c r="B632" s="89"/>
      <c r="C632" s="11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69"/>
      <c r="Q632" s="4"/>
      <c r="R632" s="52"/>
      <c r="S632" s="52"/>
      <c r="T632" s="52"/>
      <c r="U632" s="52"/>
      <c r="V632" s="52"/>
      <c r="W632" s="52"/>
      <c r="X632" s="52"/>
      <c r="Y632" s="52"/>
      <c r="Z632" s="52"/>
    </row>
    <row r="633">
      <c r="A633" s="11"/>
      <c r="B633" s="89"/>
      <c r="C633" s="11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69"/>
      <c r="Q633" s="4"/>
      <c r="R633" s="52"/>
      <c r="S633" s="52"/>
      <c r="T633" s="52"/>
      <c r="U633" s="52"/>
      <c r="V633" s="52"/>
      <c r="W633" s="52"/>
      <c r="X633" s="52"/>
      <c r="Y633" s="52"/>
      <c r="Z633" s="52"/>
    </row>
    <row r="634">
      <c r="A634" s="11"/>
      <c r="B634" s="89"/>
      <c r="C634" s="11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69"/>
      <c r="Q634" s="4"/>
      <c r="R634" s="52"/>
      <c r="S634" s="52"/>
      <c r="T634" s="52"/>
      <c r="U634" s="52"/>
      <c r="V634" s="52"/>
      <c r="W634" s="52"/>
      <c r="X634" s="52"/>
      <c r="Y634" s="52"/>
      <c r="Z634" s="52"/>
    </row>
    <row r="635">
      <c r="A635" s="11"/>
      <c r="B635" s="89"/>
      <c r="C635" s="11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69"/>
      <c r="Q635" s="4"/>
      <c r="R635" s="52"/>
      <c r="S635" s="52"/>
      <c r="T635" s="52"/>
      <c r="U635" s="52"/>
      <c r="V635" s="52"/>
      <c r="W635" s="52"/>
      <c r="X635" s="52"/>
      <c r="Y635" s="52"/>
      <c r="Z635" s="52"/>
    </row>
    <row r="636">
      <c r="A636" s="11"/>
      <c r="B636" s="89"/>
      <c r="C636" s="11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69"/>
      <c r="Q636" s="4"/>
      <c r="R636" s="52"/>
      <c r="S636" s="52"/>
      <c r="T636" s="52"/>
      <c r="U636" s="52"/>
      <c r="V636" s="52"/>
      <c r="W636" s="52"/>
      <c r="X636" s="52"/>
      <c r="Y636" s="52"/>
      <c r="Z636" s="52"/>
    </row>
    <row r="637">
      <c r="A637" s="11"/>
      <c r="B637" s="89"/>
      <c r="C637" s="11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69"/>
      <c r="Q637" s="4"/>
      <c r="R637" s="52"/>
      <c r="S637" s="52"/>
      <c r="T637" s="52"/>
      <c r="U637" s="52"/>
      <c r="V637" s="52"/>
      <c r="W637" s="52"/>
      <c r="X637" s="52"/>
      <c r="Y637" s="52"/>
      <c r="Z637" s="52"/>
    </row>
    <row r="638">
      <c r="A638" s="11"/>
      <c r="B638" s="89"/>
      <c r="C638" s="11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69"/>
      <c r="Q638" s="4"/>
      <c r="R638" s="52"/>
      <c r="S638" s="52"/>
      <c r="T638" s="52"/>
      <c r="U638" s="52"/>
      <c r="V638" s="52"/>
      <c r="W638" s="52"/>
      <c r="X638" s="52"/>
      <c r="Y638" s="52"/>
      <c r="Z638" s="52"/>
    </row>
    <row r="639">
      <c r="A639" s="11"/>
      <c r="B639" s="89"/>
      <c r="C639" s="11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69"/>
      <c r="Q639" s="4"/>
      <c r="R639" s="52"/>
      <c r="S639" s="52"/>
      <c r="T639" s="52"/>
      <c r="U639" s="52"/>
      <c r="V639" s="52"/>
      <c r="W639" s="52"/>
      <c r="X639" s="52"/>
      <c r="Y639" s="52"/>
      <c r="Z639" s="52"/>
    </row>
    <row r="640">
      <c r="A640" s="11"/>
      <c r="B640" s="89"/>
      <c r="C640" s="11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69"/>
      <c r="Q640" s="4"/>
      <c r="R640" s="52"/>
      <c r="S640" s="52"/>
      <c r="T640" s="52"/>
      <c r="U640" s="52"/>
      <c r="V640" s="52"/>
      <c r="W640" s="52"/>
      <c r="X640" s="52"/>
      <c r="Y640" s="52"/>
      <c r="Z640" s="52"/>
    </row>
    <row r="641">
      <c r="A641" s="11"/>
      <c r="B641" s="89"/>
      <c r="C641" s="11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69"/>
      <c r="Q641" s="4"/>
      <c r="R641" s="52"/>
      <c r="S641" s="52"/>
      <c r="T641" s="52"/>
      <c r="U641" s="52"/>
      <c r="V641" s="52"/>
      <c r="W641" s="52"/>
      <c r="X641" s="52"/>
      <c r="Y641" s="52"/>
      <c r="Z641" s="52"/>
    </row>
    <row r="642">
      <c r="A642" s="11"/>
      <c r="B642" s="89"/>
      <c r="C642" s="11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69"/>
      <c r="Q642" s="4"/>
      <c r="R642" s="52"/>
      <c r="S642" s="52"/>
      <c r="T642" s="52"/>
      <c r="U642" s="52"/>
      <c r="V642" s="52"/>
      <c r="W642" s="52"/>
      <c r="X642" s="52"/>
      <c r="Y642" s="52"/>
      <c r="Z642" s="52"/>
    </row>
    <row r="643">
      <c r="A643" s="11"/>
      <c r="B643" s="89"/>
      <c r="C643" s="11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69"/>
      <c r="Q643" s="4"/>
      <c r="R643" s="52"/>
      <c r="S643" s="52"/>
      <c r="T643" s="52"/>
      <c r="U643" s="52"/>
      <c r="V643" s="52"/>
      <c r="W643" s="52"/>
      <c r="X643" s="52"/>
      <c r="Y643" s="52"/>
      <c r="Z643" s="52"/>
    </row>
    <row r="644">
      <c r="A644" s="11"/>
      <c r="B644" s="89"/>
      <c r="C644" s="11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69"/>
      <c r="Q644" s="4"/>
      <c r="R644" s="52"/>
      <c r="S644" s="52"/>
      <c r="T644" s="52"/>
      <c r="U644" s="52"/>
      <c r="V644" s="52"/>
      <c r="W644" s="52"/>
      <c r="X644" s="52"/>
      <c r="Y644" s="52"/>
      <c r="Z644" s="52"/>
    </row>
    <row r="645">
      <c r="A645" s="11"/>
      <c r="B645" s="89"/>
      <c r="C645" s="11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69"/>
      <c r="Q645" s="4"/>
      <c r="R645" s="52"/>
      <c r="S645" s="52"/>
      <c r="T645" s="52"/>
      <c r="U645" s="52"/>
      <c r="V645" s="52"/>
      <c r="W645" s="52"/>
      <c r="X645" s="52"/>
      <c r="Y645" s="52"/>
      <c r="Z645" s="52"/>
    </row>
    <row r="646">
      <c r="A646" s="11"/>
      <c r="B646" s="89"/>
      <c r="C646" s="11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69"/>
      <c r="Q646" s="4"/>
      <c r="R646" s="52"/>
      <c r="S646" s="52"/>
      <c r="T646" s="52"/>
      <c r="U646" s="52"/>
      <c r="V646" s="52"/>
      <c r="W646" s="52"/>
      <c r="X646" s="52"/>
      <c r="Y646" s="52"/>
      <c r="Z646" s="52"/>
    </row>
    <row r="647">
      <c r="A647" s="11"/>
      <c r="B647" s="89"/>
      <c r="C647" s="11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69"/>
      <c r="Q647" s="4"/>
      <c r="R647" s="52"/>
      <c r="S647" s="52"/>
      <c r="T647" s="52"/>
      <c r="U647" s="52"/>
      <c r="V647" s="52"/>
      <c r="W647" s="52"/>
      <c r="X647" s="52"/>
      <c r="Y647" s="52"/>
      <c r="Z647" s="52"/>
    </row>
    <row r="648">
      <c r="A648" s="11"/>
      <c r="B648" s="89"/>
      <c r="C648" s="11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69"/>
      <c r="Q648" s="4"/>
      <c r="R648" s="52"/>
      <c r="S648" s="52"/>
      <c r="T648" s="52"/>
      <c r="U648" s="52"/>
      <c r="V648" s="52"/>
      <c r="W648" s="52"/>
      <c r="X648" s="52"/>
      <c r="Y648" s="52"/>
      <c r="Z648" s="52"/>
    </row>
    <row r="649">
      <c r="A649" s="11"/>
      <c r="B649" s="89"/>
      <c r="C649" s="11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69"/>
      <c r="Q649" s="4"/>
      <c r="R649" s="52"/>
      <c r="S649" s="52"/>
      <c r="T649" s="52"/>
      <c r="U649" s="52"/>
      <c r="V649" s="52"/>
      <c r="W649" s="52"/>
      <c r="X649" s="52"/>
      <c r="Y649" s="52"/>
      <c r="Z649" s="52"/>
    </row>
    <row r="650">
      <c r="A650" s="11"/>
      <c r="B650" s="89"/>
      <c r="C650" s="11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69"/>
      <c r="Q650" s="4"/>
      <c r="R650" s="52"/>
      <c r="S650" s="52"/>
      <c r="T650" s="52"/>
      <c r="U650" s="52"/>
      <c r="V650" s="52"/>
      <c r="W650" s="52"/>
      <c r="X650" s="52"/>
      <c r="Y650" s="52"/>
      <c r="Z650" s="52"/>
    </row>
    <row r="651">
      <c r="A651" s="11"/>
      <c r="B651" s="89"/>
      <c r="C651" s="11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69"/>
      <c r="Q651" s="4"/>
      <c r="R651" s="52"/>
      <c r="S651" s="52"/>
      <c r="T651" s="52"/>
      <c r="U651" s="52"/>
      <c r="V651" s="52"/>
      <c r="W651" s="52"/>
      <c r="X651" s="52"/>
      <c r="Y651" s="52"/>
      <c r="Z651" s="52"/>
    </row>
    <row r="652">
      <c r="A652" s="11"/>
      <c r="B652" s="89"/>
      <c r="C652" s="11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69"/>
      <c r="Q652" s="4"/>
      <c r="R652" s="52"/>
      <c r="S652" s="52"/>
      <c r="T652" s="52"/>
      <c r="U652" s="52"/>
      <c r="V652" s="52"/>
      <c r="W652" s="52"/>
      <c r="X652" s="52"/>
      <c r="Y652" s="52"/>
      <c r="Z652" s="52"/>
    </row>
    <row r="653">
      <c r="A653" s="11"/>
      <c r="B653" s="89"/>
      <c r="C653" s="11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69"/>
      <c r="Q653" s="4"/>
      <c r="R653" s="52"/>
      <c r="S653" s="52"/>
      <c r="T653" s="52"/>
      <c r="U653" s="52"/>
      <c r="V653" s="52"/>
      <c r="W653" s="52"/>
      <c r="X653" s="52"/>
      <c r="Y653" s="52"/>
      <c r="Z653" s="52"/>
    </row>
    <row r="654">
      <c r="A654" s="11"/>
      <c r="B654" s="89"/>
      <c r="C654" s="11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69"/>
      <c r="Q654" s="4"/>
      <c r="R654" s="52"/>
      <c r="S654" s="52"/>
      <c r="T654" s="52"/>
      <c r="U654" s="52"/>
      <c r="V654" s="52"/>
      <c r="W654" s="52"/>
      <c r="X654" s="52"/>
      <c r="Y654" s="52"/>
      <c r="Z654" s="52"/>
    </row>
    <row r="655">
      <c r="A655" s="11"/>
      <c r="B655" s="89"/>
      <c r="C655" s="11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69"/>
      <c r="Q655" s="4"/>
      <c r="R655" s="52"/>
      <c r="S655" s="52"/>
      <c r="T655" s="52"/>
      <c r="U655" s="52"/>
      <c r="V655" s="52"/>
      <c r="W655" s="52"/>
      <c r="X655" s="52"/>
      <c r="Y655" s="52"/>
      <c r="Z655" s="52"/>
    </row>
    <row r="656">
      <c r="A656" s="11"/>
      <c r="B656" s="89"/>
      <c r="C656" s="11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69"/>
      <c r="Q656" s="4"/>
      <c r="R656" s="52"/>
      <c r="S656" s="52"/>
      <c r="T656" s="52"/>
      <c r="U656" s="52"/>
      <c r="V656" s="52"/>
      <c r="W656" s="52"/>
      <c r="X656" s="52"/>
      <c r="Y656" s="52"/>
      <c r="Z656" s="52"/>
    </row>
    <row r="657">
      <c r="A657" s="11"/>
      <c r="B657" s="89"/>
      <c r="C657" s="11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69"/>
      <c r="Q657" s="4"/>
      <c r="R657" s="52"/>
      <c r="S657" s="52"/>
      <c r="T657" s="52"/>
      <c r="U657" s="52"/>
      <c r="V657" s="52"/>
      <c r="W657" s="52"/>
      <c r="X657" s="52"/>
      <c r="Y657" s="52"/>
      <c r="Z657" s="52"/>
    </row>
    <row r="658">
      <c r="A658" s="11"/>
      <c r="B658" s="89"/>
      <c r="C658" s="11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69"/>
      <c r="Q658" s="4"/>
      <c r="R658" s="52"/>
      <c r="S658" s="52"/>
      <c r="T658" s="52"/>
      <c r="U658" s="52"/>
      <c r="V658" s="52"/>
      <c r="W658" s="52"/>
      <c r="X658" s="52"/>
      <c r="Y658" s="52"/>
      <c r="Z658" s="52"/>
    </row>
    <row r="659">
      <c r="A659" s="11"/>
      <c r="B659" s="89"/>
      <c r="C659" s="11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69"/>
      <c r="Q659" s="4"/>
      <c r="R659" s="52"/>
      <c r="S659" s="52"/>
      <c r="T659" s="52"/>
      <c r="U659" s="52"/>
      <c r="V659" s="52"/>
      <c r="W659" s="52"/>
      <c r="X659" s="52"/>
      <c r="Y659" s="52"/>
      <c r="Z659" s="52"/>
    </row>
    <row r="660">
      <c r="A660" s="11"/>
      <c r="B660" s="89"/>
      <c r="C660" s="11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69"/>
      <c r="Q660" s="4"/>
      <c r="R660" s="52"/>
      <c r="S660" s="52"/>
      <c r="T660" s="52"/>
      <c r="U660" s="52"/>
      <c r="V660" s="52"/>
      <c r="W660" s="52"/>
      <c r="X660" s="52"/>
      <c r="Y660" s="52"/>
      <c r="Z660" s="52"/>
    </row>
    <row r="661">
      <c r="A661" s="11"/>
      <c r="B661" s="89"/>
      <c r="C661" s="11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69"/>
      <c r="Q661" s="4"/>
      <c r="R661" s="52"/>
      <c r="S661" s="52"/>
      <c r="T661" s="52"/>
      <c r="U661" s="52"/>
      <c r="V661" s="52"/>
      <c r="W661" s="52"/>
      <c r="X661" s="52"/>
      <c r="Y661" s="52"/>
      <c r="Z661" s="52"/>
    </row>
    <row r="662">
      <c r="A662" s="11"/>
      <c r="B662" s="89"/>
      <c r="C662" s="11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69"/>
      <c r="Q662" s="4"/>
      <c r="R662" s="52"/>
      <c r="S662" s="52"/>
      <c r="T662" s="52"/>
      <c r="U662" s="52"/>
      <c r="V662" s="52"/>
      <c r="W662" s="52"/>
      <c r="X662" s="52"/>
      <c r="Y662" s="52"/>
      <c r="Z662" s="52"/>
    </row>
    <row r="663">
      <c r="A663" s="11"/>
      <c r="B663" s="89"/>
      <c r="C663" s="11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69"/>
      <c r="Q663" s="4"/>
      <c r="R663" s="52"/>
      <c r="S663" s="52"/>
      <c r="T663" s="52"/>
      <c r="U663" s="52"/>
      <c r="V663" s="52"/>
      <c r="W663" s="52"/>
      <c r="X663" s="52"/>
      <c r="Y663" s="52"/>
      <c r="Z663" s="52"/>
    </row>
    <row r="664">
      <c r="A664" s="11"/>
      <c r="B664" s="89"/>
      <c r="C664" s="11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69"/>
      <c r="Q664" s="4"/>
      <c r="R664" s="52"/>
      <c r="S664" s="52"/>
      <c r="T664" s="52"/>
      <c r="U664" s="52"/>
      <c r="V664" s="52"/>
      <c r="W664" s="52"/>
      <c r="X664" s="52"/>
      <c r="Y664" s="52"/>
      <c r="Z664" s="52"/>
    </row>
    <row r="665">
      <c r="A665" s="11"/>
      <c r="B665" s="89"/>
      <c r="C665" s="11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69"/>
      <c r="Q665" s="4"/>
      <c r="R665" s="52"/>
      <c r="S665" s="52"/>
      <c r="T665" s="52"/>
      <c r="U665" s="52"/>
      <c r="V665" s="52"/>
      <c r="W665" s="52"/>
      <c r="X665" s="52"/>
      <c r="Y665" s="52"/>
      <c r="Z665" s="52"/>
    </row>
    <row r="666">
      <c r="A666" s="11"/>
      <c r="B666" s="89"/>
      <c r="C666" s="11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69"/>
      <c r="Q666" s="4"/>
      <c r="R666" s="52"/>
      <c r="S666" s="52"/>
      <c r="T666" s="52"/>
      <c r="U666" s="52"/>
      <c r="V666" s="52"/>
      <c r="W666" s="52"/>
      <c r="X666" s="52"/>
      <c r="Y666" s="52"/>
      <c r="Z666" s="52"/>
    </row>
    <row r="667">
      <c r="A667" s="11"/>
      <c r="B667" s="89"/>
      <c r="C667" s="11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69"/>
      <c r="Q667" s="4"/>
      <c r="R667" s="52"/>
      <c r="S667" s="52"/>
      <c r="T667" s="52"/>
      <c r="U667" s="52"/>
      <c r="V667" s="52"/>
      <c r="W667" s="52"/>
      <c r="X667" s="52"/>
      <c r="Y667" s="52"/>
      <c r="Z667" s="52"/>
    </row>
    <row r="668">
      <c r="A668" s="11"/>
      <c r="B668" s="89"/>
      <c r="C668" s="11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69"/>
      <c r="Q668" s="4"/>
      <c r="R668" s="52"/>
      <c r="S668" s="52"/>
      <c r="T668" s="52"/>
      <c r="U668" s="52"/>
      <c r="V668" s="52"/>
      <c r="W668" s="52"/>
      <c r="X668" s="52"/>
      <c r="Y668" s="52"/>
      <c r="Z668" s="52"/>
    </row>
    <row r="669">
      <c r="A669" s="11"/>
      <c r="B669" s="89"/>
      <c r="C669" s="11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69"/>
      <c r="Q669" s="4"/>
      <c r="R669" s="52"/>
      <c r="S669" s="52"/>
      <c r="T669" s="52"/>
      <c r="U669" s="52"/>
      <c r="V669" s="52"/>
      <c r="W669" s="52"/>
      <c r="X669" s="52"/>
      <c r="Y669" s="52"/>
      <c r="Z669" s="52"/>
    </row>
    <row r="670">
      <c r="A670" s="11"/>
      <c r="B670" s="89"/>
      <c r="C670" s="11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69"/>
      <c r="Q670" s="4"/>
      <c r="R670" s="52"/>
      <c r="S670" s="52"/>
      <c r="T670" s="52"/>
      <c r="U670" s="52"/>
      <c r="V670" s="52"/>
      <c r="W670" s="52"/>
      <c r="X670" s="52"/>
      <c r="Y670" s="52"/>
      <c r="Z670" s="52"/>
    </row>
    <row r="671">
      <c r="A671" s="11"/>
      <c r="B671" s="89"/>
      <c r="C671" s="11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69"/>
      <c r="Q671" s="4"/>
      <c r="R671" s="52"/>
      <c r="S671" s="52"/>
      <c r="T671" s="52"/>
      <c r="U671" s="52"/>
      <c r="V671" s="52"/>
      <c r="W671" s="52"/>
      <c r="X671" s="52"/>
      <c r="Y671" s="52"/>
      <c r="Z671" s="52"/>
    </row>
    <row r="672">
      <c r="A672" s="11"/>
      <c r="B672" s="89"/>
      <c r="C672" s="11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69"/>
      <c r="Q672" s="4"/>
      <c r="R672" s="52"/>
      <c r="S672" s="52"/>
      <c r="T672" s="52"/>
      <c r="U672" s="52"/>
      <c r="V672" s="52"/>
      <c r="W672" s="52"/>
      <c r="X672" s="52"/>
      <c r="Y672" s="52"/>
      <c r="Z672" s="52"/>
    </row>
    <row r="673">
      <c r="A673" s="11"/>
      <c r="B673" s="89"/>
      <c r="C673" s="11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69"/>
      <c r="Q673" s="4"/>
      <c r="R673" s="52"/>
      <c r="S673" s="52"/>
      <c r="T673" s="52"/>
      <c r="U673" s="52"/>
      <c r="V673" s="52"/>
      <c r="W673" s="52"/>
      <c r="X673" s="52"/>
      <c r="Y673" s="52"/>
      <c r="Z673" s="52"/>
    </row>
    <row r="674">
      <c r="A674" s="11"/>
      <c r="B674" s="89"/>
      <c r="C674" s="11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69"/>
      <c r="Q674" s="4"/>
      <c r="R674" s="52"/>
      <c r="S674" s="52"/>
      <c r="T674" s="52"/>
      <c r="U674" s="52"/>
      <c r="V674" s="52"/>
      <c r="W674" s="52"/>
      <c r="X674" s="52"/>
      <c r="Y674" s="52"/>
      <c r="Z674" s="52"/>
    </row>
    <row r="675">
      <c r="A675" s="11"/>
      <c r="B675" s="89"/>
      <c r="C675" s="11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69"/>
      <c r="Q675" s="4"/>
      <c r="R675" s="52"/>
      <c r="S675" s="52"/>
      <c r="T675" s="52"/>
      <c r="U675" s="52"/>
      <c r="V675" s="52"/>
      <c r="W675" s="52"/>
      <c r="X675" s="52"/>
      <c r="Y675" s="52"/>
      <c r="Z675" s="52"/>
    </row>
    <row r="676">
      <c r="A676" s="11"/>
      <c r="B676" s="89"/>
      <c r="C676" s="11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69"/>
      <c r="Q676" s="4"/>
      <c r="R676" s="52"/>
      <c r="S676" s="52"/>
      <c r="T676" s="52"/>
      <c r="U676" s="52"/>
      <c r="V676" s="52"/>
      <c r="W676" s="52"/>
      <c r="X676" s="52"/>
      <c r="Y676" s="52"/>
      <c r="Z676" s="52"/>
    </row>
    <row r="677">
      <c r="A677" s="11"/>
      <c r="B677" s="89"/>
      <c r="C677" s="11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69"/>
      <c r="Q677" s="4"/>
      <c r="R677" s="52"/>
      <c r="S677" s="52"/>
      <c r="T677" s="52"/>
      <c r="U677" s="52"/>
      <c r="V677" s="52"/>
      <c r="W677" s="52"/>
      <c r="X677" s="52"/>
      <c r="Y677" s="52"/>
      <c r="Z677" s="52"/>
    </row>
    <row r="678">
      <c r="A678" s="11"/>
      <c r="B678" s="89"/>
      <c r="C678" s="11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69"/>
      <c r="Q678" s="4"/>
      <c r="R678" s="52"/>
      <c r="S678" s="52"/>
      <c r="T678" s="52"/>
      <c r="U678" s="52"/>
      <c r="V678" s="52"/>
      <c r="W678" s="52"/>
      <c r="X678" s="52"/>
      <c r="Y678" s="52"/>
      <c r="Z678" s="52"/>
    </row>
    <row r="679">
      <c r="A679" s="11"/>
      <c r="B679" s="89"/>
      <c r="C679" s="11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69"/>
      <c r="Q679" s="4"/>
      <c r="R679" s="52"/>
      <c r="S679" s="52"/>
      <c r="T679" s="52"/>
      <c r="U679" s="52"/>
      <c r="V679" s="52"/>
      <c r="W679" s="52"/>
      <c r="X679" s="52"/>
      <c r="Y679" s="52"/>
      <c r="Z679" s="52"/>
    </row>
    <row r="680">
      <c r="A680" s="11"/>
      <c r="B680" s="89"/>
      <c r="C680" s="11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69"/>
      <c r="Q680" s="4"/>
      <c r="R680" s="52"/>
      <c r="S680" s="52"/>
      <c r="T680" s="52"/>
      <c r="U680" s="52"/>
      <c r="V680" s="52"/>
      <c r="W680" s="52"/>
      <c r="X680" s="52"/>
      <c r="Y680" s="52"/>
      <c r="Z680" s="52"/>
    </row>
    <row r="681">
      <c r="A681" s="11"/>
      <c r="B681" s="89"/>
      <c r="C681" s="11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69"/>
      <c r="Q681" s="4"/>
      <c r="R681" s="52"/>
      <c r="S681" s="52"/>
      <c r="T681" s="52"/>
      <c r="U681" s="52"/>
      <c r="V681" s="52"/>
      <c r="W681" s="52"/>
      <c r="X681" s="52"/>
      <c r="Y681" s="52"/>
      <c r="Z681" s="52"/>
    </row>
    <row r="682">
      <c r="A682" s="11"/>
      <c r="B682" s="89"/>
      <c r="C682" s="11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69"/>
      <c r="Q682" s="4"/>
      <c r="R682" s="52"/>
      <c r="S682" s="52"/>
      <c r="T682" s="52"/>
      <c r="U682" s="52"/>
      <c r="V682" s="52"/>
      <c r="W682" s="52"/>
      <c r="X682" s="52"/>
      <c r="Y682" s="52"/>
      <c r="Z682" s="52"/>
    </row>
    <row r="683">
      <c r="A683" s="11"/>
      <c r="B683" s="89"/>
      <c r="C683" s="11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69"/>
      <c r="Q683" s="4"/>
      <c r="R683" s="52"/>
      <c r="S683" s="52"/>
      <c r="T683" s="52"/>
      <c r="U683" s="52"/>
      <c r="V683" s="52"/>
      <c r="W683" s="52"/>
      <c r="X683" s="52"/>
      <c r="Y683" s="52"/>
      <c r="Z683" s="52"/>
    </row>
    <row r="684">
      <c r="A684" s="11"/>
      <c r="B684" s="89"/>
      <c r="C684" s="11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69"/>
      <c r="Q684" s="4"/>
      <c r="R684" s="52"/>
      <c r="S684" s="52"/>
      <c r="T684" s="52"/>
      <c r="U684" s="52"/>
      <c r="V684" s="52"/>
      <c r="W684" s="52"/>
      <c r="X684" s="52"/>
      <c r="Y684" s="52"/>
      <c r="Z684" s="52"/>
    </row>
    <row r="685">
      <c r="A685" s="11"/>
      <c r="B685" s="89"/>
      <c r="C685" s="11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69"/>
      <c r="Q685" s="4"/>
      <c r="R685" s="52"/>
      <c r="S685" s="52"/>
      <c r="T685" s="52"/>
      <c r="U685" s="52"/>
      <c r="V685" s="52"/>
      <c r="W685" s="52"/>
      <c r="X685" s="52"/>
      <c r="Y685" s="52"/>
      <c r="Z685" s="52"/>
    </row>
    <row r="686">
      <c r="A686" s="11"/>
      <c r="B686" s="89"/>
      <c r="C686" s="11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69"/>
      <c r="Q686" s="4"/>
      <c r="R686" s="52"/>
      <c r="S686" s="52"/>
      <c r="T686" s="52"/>
      <c r="U686" s="52"/>
      <c r="V686" s="52"/>
      <c r="W686" s="52"/>
      <c r="X686" s="52"/>
      <c r="Y686" s="52"/>
      <c r="Z686" s="52"/>
    </row>
    <row r="687">
      <c r="A687" s="11"/>
      <c r="B687" s="89"/>
      <c r="C687" s="11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69"/>
      <c r="Q687" s="4"/>
      <c r="R687" s="52"/>
      <c r="S687" s="52"/>
      <c r="T687" s="52"/>
      <c r="U687" s="52"/>
      <c r="V687" s="52"/>
      <c r="W687" s="52"/>
      <c r="X687" s="52"/>
      <c r="Y687" s="52"/>
      <c r="Z687" s="52"/>
    </row>
    <row r="688">
      <c r="A688" s="11"/>
      <c r="B688" s="89"/>
      <c r="C688" s="11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69"/>
      <c r="Q688" s="4"/>
      <c r="R688" s="52"/>
      <c r="S688" s="52"/>
      <c r="T688" s="52"/>
      <c r="U688" s="52"/>
      <c r="V688" s="52"/>
      <c r="W688" s="52"/>
      <c r="X688" s="52"/>
      <c r="Y688" s="52"/>
      <c r="Z688" s="52"/>
    </row>
    <row r="689">
      <c r="A689" s="11"/>
      <c r="B689" s="89"/>
      <c r="C689" s="11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69"/>
      <c r="Q689" s="4"/>
      <c r="R689" s="52"/>
      <c r="S689" s="52"/>
      <c r="T689" s="52"/>
      <c r="U689" s="52"/>
      <c r="V689" s="52"/>
      <c r="W689" s="52"/>
      <c r="X689" s="52"/>
      <c r="Y689" s="52"/>
      <c r="Z689" s="52"/>
    </row>
    <row r="690">
      <c r="A690" s="11"/>
      <c r="B690" s="89"/>
      <c r="C690" s="11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69"/>
      <c r="Q690" s="4"/>
      <c r="R690" s="52"/>
      <c r="S690" s="52"/>
      <c r="T690" s="52"/>
      <c r="U690" s="52"/>
      <c r="V690" s="52"/>
      <c r="W690" s="52"/>
      <c r="X690" s="52"/>
      <c r="Y690" s="52"/>
      <c r="Z690" s="52"/>
    </row>
    <row r="691">
      <c r="A691" s="11"/>
      <c r="B691" s="89"/>
      <c r="C691" s="11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69"/>
      <c r="Q691" s="4"/>
      <c r="R691" s="52"/>
      <c r="S691" s="52"/>
      <c r="T691" s="52"/>
      <c r="U691" s="52"/>
      <c r="V691" s="52"/>
      <c r="W691" s="52"/>
      <c r="X691" s="52"/>
      <c r="Y691" s="52"/>
      <c r="Z691" s="52"/>
    </row>
    <row r="692">
      <c r="A692" s="11"/>
      <c r="B692" s="89"/>
      <c r="C692" s="11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69"/>
      <c r="Q692" s="4"/>
      <c r="R692" s="52"/>
      <c r="S692" s="52"/>
      <c r="T692" s="52"/>
      <c r="U692" s="52"/>
      <c r="V692" s="52"/>
      <c r="W692" s="52"/>
      <c r="X692" s="52"/>
      <c r="Y692" s="52"/>
      <c r="Z692" s="52"/>
    </row>
    <row r="693">
      <c r="A693" s="11"/>
      <c r="B693" s="89"/>
      <c r="C693" s="11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69"/>
      <c r="Q693" s="4"/>
      <c r="R693" s="52"/>
      <c r="S693" s="52"/>
      <c r="T693" s="52"/>
      <c r="U693" s="52"/>
      <c r="V693" s="52"/>
      <c r="W693" s="52"/>
      <c r="X693" s="52"/>
      <c r="Y693" s="52"/>
      <c r="Z693" s="52"/>
    </row>
    <row r="694">
      <c r="A694" s="11"/>
      <c r="B694" s="89"/>
      <c r="C694" s="11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69"/>
      <c r="Q694" s="4"/>
      <c r="R694" s="52"/>
      <c r="S694" s="52"/>
      <c r="T694" s="52"/>
      <c r="U694" s="52"/>
      <c r="V694" s="52"/>
      <c r="W694" s="52"/>
      <c r="X694" s="52"/>
      <c r="Y694" s="52"/>
      <c r="Z694" s="52"/>
    </row>
    <row r="695">
      <c r="A695" s="11"/>
      <c r="B695" s="89"/>
      <c r="C695" s="11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69"/>
      <c r="Q695" s="4"/>
      <c r="R695" s="52"/>
      <c r="S695" s="52"/>
      <c r="T695" s="52"/>
      <c r="U695" s="52"/>
      <c r="V695" s="52"/>
      <c r="W695" s="52"/>
      <c r="X695" s="52"/>
      <c r="Y695" s="52"/>
      <c r="Z695" s="52"/>
    </row>
    <row r="696">
      <c r="A696" s="11"/>
      <c r="B696" s="89"/>
      <c r="C696" s="11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69"/>
      <c r="Q696" s="4"/>
      <c r="R696" s="52"/>
      <c r="S696" s="52"/>
      <c r="T696" s="52"/>
      <c r="U696" s="52"/>
      <c r="V696" s="52"/>
      <c r="W696" s="52"/>
      <c r="X696" s="52"/>
      <c r="Y696" s="52"/>
      <c r="Z696" s="52"/>
    </row>
    <row r="697">
      <c r="A697" s="11"/>
      <c r="B697" s="89"/>
      <c r="C697" s="11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69"/>
      <c r="Q697" s="4"/>
      <c r="R697" s="52"/>
      <c r="S697" s="52"/>
      <c r="T697" s="52"/>
      <c r="U697" s="52"/>
      <c r="V697" s="52"/>
      <c r="W697" s="52"/>
      <c r="X697" s="52"/>
      <c r="Y697" s="52"/>
      <c r="Z697" s="52"/>
    </row>
    <row r="698">
      <c r="A698" s="11"/>
      <c r="B698" s="89"/>
      <c r="C698" s="11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69"/>
      <c r="Q698" s="4"/>
      <c r="R698" s="52"/>
      <c r="S698" s="52"/>
      <c r="T698" s="52"/>
      <c r="U698" s="52"/>
      <c r="V698" s="52"/>
      <c r="W698" s="52"/>
      <c r="X698" s="52"/>
      <c r="Y698" s="52"/>
      <c r="Z698" s="52"/>
    </row>
    <row r="699">
      <c r="A699" s="11"/>
      <c r="B699" s="89"/>
      <c r="C699" s="11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69"/>
      <c r="Q699" s="4"/>
      <c r="R699" s="52"/>
      <c r="S699" s="52"/>
      <c r="T699" s="52"/>
      <c r="U699" s="52"/>
      <c r="V699" s="52"/>
      <c r="W699" s="52"/>
      <c r="X699" s="52"/>
      <c r="Y699" s="52"/>
      <c r="Z699" s="52"/>
    </row>
    <row r="700">
      <c r="A700" s="11"/>
      <c r="B700" s="89"/>
      <c r="C700" s="11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69"/>
      <c r="Q700" s="4"/>
      <c r="R700" s="52"/>
      <c r="S700" s="52"/>
      <c r="T700" s="52"/>
      <c r="U700" s="52"/>
      <c r="V700" s="52"/>
      <c r="W700" s="52"/>
      <c r="X700" s="52"/>
      <c r="Y700" s="52"/>
      <c r="Z700" s="52"/>
    </row>
    <row r="701">
      <c r="A701" s="11"/>
      <c r="B701" s="89"/>
      <c r="C701" s="11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69"/>
      <c r="Q701" s="4"/>
      <c r="R701" s="52"/>
      <c r="S701" s="52"/>
      <c r="T701" s="52"/>
      <c r="U701" s="52"/>
      <c r="V701" s="52"/>
      <c r="W701" s="52"/>
      <c r="X701" s="52"/>
      <c r="Y701" s="52"/>
      <c r="Z701" s="52"/>
    </row>
    <row r="702">
      <c r="A702" s="11"/>
      <c r="B702" s="89"/>
      <c r="C702" s="11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69"/>
      <c r="Q702" s="4"/>
      <c r="R702" s="52"/>
      <c r="S702" s="52"/>
      <c r="T702" s="52"/>
      <c r="U702" s="52"/>
      <c r="V702" s="52"/>
      <c r="W702" s="52"/>
      <c r="X702" s="52"/>
      <c r="Y702" s="52"/>
      <c r="Z702" s="52"/>
    </row>
    <row r="703">
      <c r="A703" s="11"/>
      <c r="B703" s="89"/>
      <c r="C703" s="11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69"/>
      <c r="Q703" s="4"/>
      <c r="R703" s="52"/>
      <c r="S703" s="52"/>
      <c r="T703" s="52"/>
      <c r="U703" s="52"/>
      <c r="V703" s="52"/>
      <c r="W703" s="52"/>
      <c r="X703" s="52"/>
      <c r="Y703" s="52"/>
      <c r="Z703" s="52"/>
    </row>
    <row r="704">
      <c r="A704" s="11"/>
      <c r="B704" s="89"/>
      <c r="C704" s="11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69"/>
      <c r="Q704" s="4"/>
      <c r="R704" s="52"/>
      <c r="S704" s="52"/>
      <c r="T704" s="52"/>
      <c r="U704" s="52"/>
      <c r="V704" s="52"/>
      <c r="W704" s="52"/>
      <c r="X704" s="52"/>
      <c r="Y704" s="52"/>
      <c r="Z704" s="52"/>
    </row>
    <row r="705">
      <c r="A705" s="11"/>
      <c r="B705" s="89"/>
      <c r="C705" s="11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69"/>
      <c r="Q705" s="4"/>
      <c r="R705" s="52"/>
      <c r="S705" s="52"/>
      <c r="T705" s="52"/>
      <c r="U705" s="52"/>
      <c r="V705" s="52"/>
      <c r="W705" s="52"/>
      <c r="X705" s="52"/>
      <c r="Y705" s="52"/>
      <c r="Z705" s="52"/>
    </row>
    <row r="706">
      <c r="A706" s="11"/>
      <c r="B706" s="89"/>
      <c r="C706" s="11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69"/>
      <c r="Q706" s="4"/>
      <c r="R706" s="52"/>
      <c r="S706" s="52"/>
      <c r="T706" s="52"/>
      <c r="U706" s="52"/>
      <c r="V706" s="52"/>
      <c r="W706" s="52"/>
      <c r="X706" s="52"/>
      <c r="Y706" s="52"/>
      <c r="Z706" s="52"/>
    </row>
    <row r="707">
      <c r="A707" s="11"/>
      <c r="B707" s="89"/>
      <c r="C707" s="11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69"/>
      <c r="Q707" s="4"/>
      <c r="R707" s="52"/>
      <c r="S707" s="52"/>
      <c r="T707" s="52"/>
      <c r="U707" s="52"/>
      <c r="V707" s="52"/>
      <c r="W707" s="52"/>
      <c r="X707" s="52"/>
      <c r="Y707" s="52"/>
      <c r="Z707" s="52"/>
    </row>
    <row r="708">
      <c r="A708" s="11"/>
      <c r="B708" s="89"/>
      <c r="C708" s="11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69"/>
      <c r="Q708" s="4"/>
      <c r="R708" s="52"/>
      <c r="S708" s="52"/>
      <c r="T708" s="52"/>
      <c r="U708" s="52"/>
      <c r="V708" s="52"/>
      <c r="W708" s="52"/>
      <c r="X708" s="52"/>
      <c r="Y708" s="52"/>
      <c r="Z708" s="52"/>
    </row>
    <row r="709">
      <c r="A709" s="11"/>
      <c r="B709" s="89"/>
      <c r="C709" s="11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69"/>
      <c r="Q709" s="4"/>
      <c r="R709" s="52"/>
      <c r="S709" s="52"/>
      <c r="T709" s="52"/>
      <c r="U709" s="52"/>
      <c r="V709" s="52"/>
      <c r="W709" s="52"/>
      <c r="X709" s="52"/>
      <c r="Y709" s="52"/>
      <c r="Z709" s="52"/>
    </row>
    <row r="710">
      <c r="A710" s="11"/>
      <c r="B710" s="89"/>
      <c r="C710" s="11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69"/>
      <c r="Q710" s="4"/>
      <c r="R710" s="52"/>
      <c r="S710" s="52"/>
      <c r="T710" s="52"/>
      <c r="U710" s="52"/>
      <c r="V710" s="52"/>
      <c r="W710" s="52"/>
      <c r="X710" s="52"/>
      <c r="Y710" s="52"/>
      <c r="Z710" s="52"/>
    </row>
    <row r="711">
      <c r="A711" s="11"/>
      <c r="B711" s="89"/>
      <c r="C711" s="11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69"/>
      <c r="Q711" s="4"/>
      <c r="R711" s="52"/>
      <c r="S711" s="52"/>
      <c r="T711" s="52"/>
      <c r="U711" s="52"/>
      <c r="V711" s="52"/>
      <c r="W711" s="52"/>
      <c r="X711" s="52"/>
      <c r="Y711" s="52"/>
      <c r="Z711" s="52"/>
    </row>
    <row r="712">
      <c r="A712" s="11"/>
      <c r="B712" s="89"/>
      <c r="C712" s="11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69"/>
      <c r="Q712" s="4"/>
      <c r="R712" s="52"/>
      <c r="S712" s="52"/>
      <c r="T712" s="52"/>
      <c r="U712" s="52"/>
      <c r="V712" s="52"/>
      <c r="W712" s="52"/>
      <c r="X712" s="52"/>
      <c r="Y712" s="52"/>
      <c r="Z712" s="52"/>
    </row>
    <row r="713">
      <c r="A713" s="11"/>
      <c r="B713" s="89"/>
      <c r="C713" s="11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69"/>
      <c r="Q713" s="4"/>
      <c r="R713" s="52"/>
      <c r="S713" s="52"/>
      <c r="T713" s="52"/>
      <c r="U713" s="52"/>
      <c r="V713" s="52"/>
      <c r="W713" s="52"/>
      <c r="X713" s="52"/>
      <c r="Y713" s="52"/>
      <c r="Z713" s="52"/>
    </row>
    <row r="714">
      <c r="A714" s="11"/>
      <c r="B714" s="89"/>
      <c r="C714" s="11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69"/>
      <c r="Q714" s="4"/>
      <c r="R714" s="52"/>
      <c r="S714" s="52"/>
      <c r="T714" s="52"/>
      <c r="U714" s="52"/>
      <c r="V714" s="52"/>
      <c r="W714" s="52"/>
      <c r="X714" s="52"/>
      <c r="Y714" s="52"/>
      <c r="Z714" s="52"/>
    </row>
    <row r="715">
      <c r="A715" s="11"/>
      <c r="B715" s="89"/>
      <c r="C715" s="11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69"/>
      <c r="Q715" s="4"/>
      <c r="R715" s="52"/>
      <c r="S715" s="52"/>
      <c r="T715" s="52"/>
      <c r="U715" s="52"/>
      <c r="V715" s="52"/>
      <c r="W715" s="52"/>
      <c r="X715" s="52"/>
      <c r="Y715" s="52"/>
      <c r="Z715" s="52"/>
    </row>
    <row r="716">
      <c r="A716" s="11"/>
      <c r="B716" s="89"/>
      <c r="C716" s="11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69"/>
      <c r="Q716" s="4"/>
      <c r="R716" s="52"/>
      <c r="S716" s="52"/>
      <c r="T716" s="52"/>
      <c r="U716" s="52"/>
      <c r="V716" s="52"/>
      <c r="W716" s="52"/>
      <c r="X716" s="52"/>
      <c r="Y716" s="52"/>
      <c r="Z716" s="52"/>
    </row>
    <row r="717">
      <c r="A717" s="11"/>
      <c r="B717" s="89"/>
      <c r="C717" s="11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69"/>
      <c r="Q717" s="4"/>
      <c r="R717" s="52"/>
      <c r="S717" s="52"/>
      <c r="T717" s="52"/>
      <c r="U717" s="52"/>
      <c r="V717" s="52"/>
      <c r="W717" s="52"/>
      <c r="X717" s="52"/>
      <c r="Y717" s="52"/>
      <c r="Z717" s="52"/>
    </row>
    <row r="718">
      <c r="A718" s="11"/>
      <c r="B718" s="89"/>
      <c r="C718" s="11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69"/>
      <c r="Q718" s="4"/>
      <c r="R718" s="52"/>
      <c r="S718" s="52"/>
      <c r="T718" s="52"/>
      <c r="U718" s="52"/>
      <c r="V718" s="52"/>
      <c r="W718" s="52"/>
      <c r="X718" s="52"/>
      <c r="Y718" s="52"/>
      <c r="Z718" s="52"/>
    </row>
    <row r="719">
      <c r="A719" s="11"/>
      <c r="B719" s="89"/>
      <c r="C719" s="11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69"/>
      <c r="Q719" s="4"/>
      <c r="R719" s="52"/>
      <c r="S719" s="52"/>
      <c r="T719" s="52"/>
      <c r="U719" s="52"/>
      <c r="V719" s="52"/>
      <c r="W719" s="52"/>
      <c r="X719" s="52"/>
      <c r="Y719" s="52"/>
      <c r="Z719" s="52"/>
    </row>
    <row r="720">
      <c r="A720" s="11"/>
      <c r="B720" s="89"/>
      <c r="C720" s="11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69"/>
      <c r="Q720" s="4"/>
      <c r="R720" s="52"/>
      <c r="S720" s="52"/>
      <c r="T720" s="52"/>
      <c r="U720" s="52"/>
      <c r="V720" s="52"/>
      <c r="W720" s="52"/>
      <c r="X720" s="52"/>
      <c r="Y720" s="52"/>
      <c r="Z720" s="52"/>
    </row>
    <row r="721">
      <c r="A721" s="11"/>
      <c r="B721" s="89"/>
      <c r="C721" s="11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69"/>
      <c r="Q721" s="4"/>
      <c r="R721" s="52"/>
      <c r="S721" s="52"/>
      <c r="T721" s="52"/>
      <c r="U721" s="52"/>
      <c r="V721" s="52"/>
      <c r="W721" s="52"/>
      <c r="X721" s="52"/>
      <c r="Y721" s="52"/>
      <c r="Z721" s="52"/>
    </row>
    <row r="722">
      <c r="A722" s="11"/>
      <c r="B722" s="89"/>
      <c r="C722" s="11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69"/>
      <c r="Q722" s="4"/>
      <c r="R722" s="52"/>
      <c r="S722" s="52"/>
      <c r="T722" s="52"/>
      <c r="U722" s="52"/>
      <c r="V722" s="52"/>
      <c r="W722" s="52"/>
      <c r="X722" s="52"/>
      <c r="Y722" s="52"/>
      <c r="Z722" s="52"/>
    </row>
    <row r="723">
      <c r="A723" s="11"/>
      <c r="B723" s="89"/>
      <c r="C723" s="11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69"/>
      <c r="Q723" s="4"/>
      <c r="R723" s="52"/>
      <c r="S723" s="52"/>
      <c r="T723" s="52"/>
      <c r="U723" s="52"/>
      <c r="V723" s="52"/>
      <c r="W723" s="52"/>
      <c r="X723" s="52"/>
      <c r="Y723" s="52"/>
      <c r="Z723" s="52"/>
    </row>
    <row r="724">
      <c r="A724" s="11"/>
      <c r="B724" s="89"/>
      <c r="C724" s="11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69"/>
      <c r="Q724" s="4"/>
      <c r="R724" s="52"/>
      <c r="S724" s="52"/>
      <c r="T724" s="52"/>
      <c r="U724" s="52"/>
      <c r="V724" s="52"/>
      <c r="W724" s="52"/>
      <c r="X724" s="52"/>
      <c r="Y724" s="52"/>
      <c r="Z724" s="52"/>
    </row>
    <row r="725">
      <c r="A725" s="11"/>
      <c r="B725" s="89"/>
      <c r="C725" s="11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69"/>
      <c r="Q725" s="4"/>
      <c r="R725" s="52"/>
      <c r="S725" s="52"/>
      <c r="T725" s="52"/>
      <c r="U725" s="52"/>
      <c r="V725" s="52"/>
      <c r="W725" s="52"/>
      <c r="X725" s="52"/>
      <c r="Y725" s="52"/>
      <c r="Z725" s="52"/>
    </row>
    <row r="726">
      <c r="A726" s="11"/>
      <c r="B726" s="89"/>
      <c r="C726" s="11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69"/>
      <c r="Q726" s="4"/>
      <c r="R726" s="52"/>
      <c r="S726" s="52"/>
      <c r="T726" s="52"/>
      <c r="U726" s="52"/>
      <c r="V726" s="52"/>
      <c r="W726" s="52"/>
      <c r="X726" s="52"/>
      <c r="Y726" s="52"/>
      <c r="Z726" s="52"/>
    </row>
    <row r="727">
      <c r="A727" s="11"/>
      <c r="B727" s="89"/>
      <c r="C727" s="11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69"/>
      <c r="Q727" s="4"/>
      <c r="R727" s="52"/>
      <c r="S727" s="52"/>
      <c r="T727" s="52"/>
      <c r="U727" s="52"/>
      <c r="V727" s="52"/>
      <c r="W727" s="52"/>
      <c r="X727" s="52"/>
      <c r="Y727" s="52"/>
      <c r="Z727" s="52"/>
    </row>
    <row r="728">
      <c r="A728" s="11"/>
      <c r="B728" s="89"/>
      <c r="C728" s="11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69"/>
      <c r="Q728" s="4"/>
      <c r="R728" s="52"/>
      <c r="S728" s="52"/>
      <c r="T728" s="52"/>
      <c r="U728" s="52"/>
      <c r="V728" s="52"/>
      <c r="W728" s="52"/>
      <c r="X728" s="52"/>
      <c r="Y728" s="52"/>
      <c r="Z728" s="52"/>
    </row>
    <row r="729">
      <c r="A729" s="11"/>
      <c r="B729" s="89"/>
      <c r="C729" s="11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69"/>
      <c r="Q729" s="4"/>
      <c r="R729" s="52"/>
      <c r="S729" s="52"/>
      <c r="T729" s="52"/>
      <c r="U729" s="52"/>
      <c r="V729" s="52"/>
      <c r="W729" s="52"/>
      <c r="X729" s="52"/>
      <c r="Y729" s="52"/>
      <c r="Z729" s="52"/>
    </row>
    <row r="730">
      <c r="A730" s="11"/>
      <c r="B730" s="89"/>
      <c r="C730" s="11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69"/>
      <c r="Q730" s="4"/>
      <c r="R730" s="52"/>
      <c r="S730" s="52"/>
      <c r="T730" s="52"/>
      <c r="U730" s="52"/>
      <c r="V730" s="52"/>
      <c r="W730" s="52"/>
      <c r="X730" s="52"/>
      <c r="Y730" s="52"/>
      <c r="Z730" s="52"/>
    </row>
    <row r="731">
      <c r="A731" s="11"/>
      <c r="B731" s="89"/>
      <c r="C731" s="11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69"/>
      <c r="Q731" s="4"/>
      <c r="R731" s="52"/>
      <c r="S731" s="52"/>
      <c r="T731" s="52"/>
      <c r="U731" s="52"/>
      <c r="V731" s="52"/>
      <c r="W731" s="52"/>
      <c r="X731" s="52"/>
      <c r="Y731" s="52"/>
      <c r="Z731" s="52"/>
    </row>
    <row r="732">
      <c r="A732" s="11"/>
      <c r="B732" s="89"/>
      <c r="C732" s="11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69"/>
      <c r="Q732" s="4"/>
      <c r="R732" s="52"/>
      <c r="S732" s="52"/>
      <c r="T732" s="52"/>
      <c r="U732" s="52"/>
      <c r="V732" s="52"/>
      <c r="W732" s="52"/>
      <c r="X732" s="52"/>
      <c r="Y732" s="52"/>
      <c r="Z732" s="52"/>
    </row>
    <row r="733">
      <c r="A733" s="11"/>
      <c r="B733" s="89"/>
      <c r="C733" s="11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69"/>
      <c r="Q733" s="4"/>
      <c r="R733" s="52"/>
      <c r="S733" s="52"/>
      <c r="T733" s="52"/>
      <c r="U733" s="52"/>
      <c r="V733" s="52"/>
      <c r="W733" s="52"/>
      <c r="X733" s="52"/>
      <c r="Y733" s="52"/>
      <c r="Z733" s="52"/>
    </row>
    <row r="734">
      <c r="A734" s="11"/>
      <c r="B734" s="89"/>
      <c r="C734" s="11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69"/>
      <c r="Q734" s="4"/>
      <c r="R734" s="52"/>
      <c r="S734" s="52"/>
      <c r="T734" s="52"/>
      <c r="U734" s="52"/>
      <c r="V734" s="52"/>
      <c r="W734" s="52"/>
      <c r="X734" s="52"/>
      <c r="Y734" s="52"/>
      <c r="Z734" s="52"/>
    </row>
    <row r="735">
      <c r="A735" s="11"/>
      <c r="B735" s="89"/>
      <c r="C735" s="11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69"/>
      <c r="Q735" s="4"/>
      <c r="R735" s="52"/>
      <c r="S735" s="52"/>
      <c r="T735" s="52"/>
      <c r="U735" s="52"/>
      <c r="V735" s="52"/>
      <c r="W735" s="52"/>
      <c r="X735" s="52"/>
      <c r="Y735" s="52"/>
      <c r="Z735" s="52"/>
    </row>
    <row r="736">
      <c r="A736" s="11"/>
      <c r="B736" s="89"/>
      <c r="C736" s="11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69"/>
      <c r="Q736" s="4"/>
      <c r="R736" s="52"/>
      <c r="S736" s="52"/>
      <c r="T736" s="52"/>
      <c r="U736" s="52"/>
      <c r="V736" s="52"/>
      <c r="W736" s="52"/>
      <c r="X736" s="52"/>
      <c r="Y736" s="52"/>
      <c r="Z736" s="52"/>
    </row>
    <row r="737">
      <c r="A737" s="11"/>
      <c r="B737" s="89"/>
      <c r="C737" s="11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69"/>
      <c r="Q737" s="4"/>
      <c r="R737" s="52"/>
      <c r="S737" s="52"/>
      <c r="T737" s="52"/>
      <c r="U737" s="52"/>
      <c r="V737" s="52"/>
      <c r="W737" s="52"/>
      <c r="X737" s="52"/>
      <c r="Y737" s="52"/>
      <c r="Z737" s="52"/>
    </row>
    <row r="738">
      <c r="A738" s="11"/>
      <c r="B738" s="89"/>
      <c r="C738" s="11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69"/>
      <c r="Q738" s="4"/>
      <c r="R738" s="52"/>
      <c r="S738" s="52"/>
      <c r="T738" s="52"/>
      <c r="U738" s="52"/>
      <c r="V738" s="52"/>
      <c r="W738" s="52"/>
      <c r="X738" s="52"/>
      <c r="Y738" s="52"/>
      <c r="Z738" s="52"/>
    </row>
    <row r="739">
      <c r="A739" s="11"/>
      <c r="B739" s="89"/>
      <c r="C739" s="11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69"/>
      <c r="Q739" s="4"/>
      <c r="R739" s="52"/>
      <c r="S739" s="52"/>
      <c r="T739" s="52"/>
      <c r="U739" s="52"/>
      <c r="V739" s="52"/>
      <c r="W739" s="52"/>
      <c r="X739" s="52"/>
      <c r="Y739" s="52"/>
      <c r="Z739" s="52"/>
    </row>
    <row r="740">
      <c r="A740" s="11"/>
      <c r="B740" s="89"/>
      <c r="C740" s="11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69"/>
      <c r="Q740" s="4"/>
      <c r="R740" s="52"/>
      <c r="S740" s="52"/>
      <c r="T740" s="52"/>
      <c r="U740" s="52"/>
      <c r="V740" s="52"/>
      <c r="W740" s="52"/>
      <c r="X740" s="52"/>
      <c r="Y740" s="52"/>
      <c r="Z740" s="52"/>
    </row>
    <row r="741">
      <c r="A741" s="11"/>
      <c r="B741" s="89"/>
      <c r="C741" s="11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69"/>
      <c r="Q741" s="4"/>
      <c r="R741" s="52"/>
      <c r="S741" s="52"/>
      <c r="T741" s="52"/>
      <c r="U741" s="52"/>
      <c r="V741" s="52"/>
      <c r="W741" s="52"/>
      <c r="X741" s="52"/>
      <c r="Y741" s="52"/>
      <c r="Z741" s="52"/>
    </row>
    <row r="742">
      <c r="A742" s="11"/>
      <c r="B742" s="89"/>
      <c r="C742" s="11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69"/>
      <c r="Q742" s="4"/>
      <c r="R742" s="52"/>
      <c r="S742" s="52"/>
      <c r="T742" s="52"/>
      <c r="U742" s="52"/>
      <c r="V742" s="52"/>
      <c r="W742" s="52"/>
      <c r="X742" s="52"/>
      <c r="Y742" s="52"/>
      <c r="Z742" s="52"/>
    </row>
    <row r="743">
      <c r="A743" s="11"/>
      <c r="B743" s="89"/>
      <c r="C743" s="11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69"/>
      <c r="Q743" s="4"/>
      <c r="R743" s="52"/>
      <c r="S743" s="52"/>
      <c r="T743" s="52"/>
      <c r="U743" s="52"/>
      <c r="V743" s="52"/>
      <c r="W743" s="52"/>
      <c r="X743" s="52"/>
      <c r="Y743" s="52"/>
      <c r="Z743" s="52"/>
    </row>
    <row r="744">
      <c r="A744" s="11"/>
      <c r="B744" s="89"/>
      <c r="C744" s="11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69"/>
      <c r="Q744" s="4"/>
      <c r="R744" s="52"/>
      <c r="S744" s="52"/>
      <c r="T744" s="52"/>
      <c r="U744" s="52"/>
      <c r="V744" s="52"/>
      <c r="W744" s="52"/>
      <c r="X744" s="52"/>
      <c r="Y744" s="52"/>
      <c r="Z744" s="52"/>
    </row>
    <row r="745">
      <c r="A745" s="11"/>
      <c r="B745" s="89"/>
      <c r="C745" s="11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69"/>
      <c r="Q745" s="4"/>
      <c r="R745" s="52"/>
      <c r="S745" s="52"/>
      <c r="T745" s="52"/>
      <c r="U745" s="52"/>
      <c r="V745" s="52"/>
      <c r="W745" s="52"/>
      <c r="X745" s="52"/>
      <c r="Y745" s="52"/>
      <c r="Z745" s="52"/>
    </row>
    <row r="746">
      <c r="A746" s="11"/>
      <c r="B746" s="89"/>
      <c r="C746" s="11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69"/>
      <c r="Q746" s="4"/>
      <c r="R746" s="52"/>
      <c r="S746" s="52"/>
      <c r="T746" s="52"/>
      <c r="U746" s="52"/>
      <c r="V746" s="52"/>
      <c r="W746" s="52"/>
      <c r="X746" s="52"/>
      <c r="Y746" s="52"/>
      <c r="Z746" s="52"/>
    </row>
    <row r="747">
      <c r="A747" s="11"/>
      <c r="B747" s="89"/>
      <c r="C747" s="11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69"/>
      <c r="Q747" s="4"/>
      <c r="R747" s="52"/>
      <c r="S747" s="52"/>
      <c r="T747" s="52"/>
      <c r="U747" s="52"/>
      <c r="V747" s="52"/>
      <c r="W747" s="52"/>
      <c r="X747" s="52"/>
      <c r="Y747" s="52"/>
      <c r="Z747" s="52"/>
    </row>
    <row r="748">
      <c r="A748" s="11"/>
      <c r="B748" s="89"/>
      <c r="C748" s="11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69"/>
      <c r="Q748" s="4"/>
      <c r="R748" s="52"/>
      <c r="S748" s="52"/>
      <c r="T748" s="52"/>
      <c r="U748" s="52"/>
      <c r="V748" s="52"/>
      <c r="W748" s="52"/>
      <c r="X748" s="52"/>
      <c r="Y748" s="52"/>
      <c r="Z748" s="52"/>
    </row>
    <row r="749">
      <c r="A749" s="11"/>
      <c r="B749" s="89"/>
      <c r="C749" s="11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69"/>
      <c r="Q749" s="4"/>
      <c r="R749" s="52"/>
      <c r="S749" s="52"/>
      <c r="T749" s="52"/>
      <c r="U749" s="52"/>
      <c r="V749" s="52"/>
      <c r="W749" s="52"/>
      <c r="X749" s="52"/>
      <c r="Y749" s="52"/>
      <c r="Z749" s="52"/>
    </row>
    <row r="750">
      <c r="A750" s="11"/>
      <c r="B750" s="89"/>
      <c r="C750" s="11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69"/>
      <c r="Q750" s="4"/>
      <c r="R750" s="52"/>
      <c r="S750" s="52"/>
      <c r="T750" s="52"/>
      <c r="U750" s="52"/>
      <c r="V750" s="52"/>
      <c r="W750" s="52"/>
      <c r="X750" s="52"/>
      <c r="Y750" s="52"/>
      <c r="Z750" s="52"/>
    </row>
    <row r="751">
      <c r="A751" s="11"/>
      <c r="B751" s="89"/>
      <c r="C751" s="11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69"/>
      <c r="Q751" s="4"/>
      <c r="R751" s="52"/>
      <c r="S751" s="52"/>
      <c r="T751" s="52"/>
      <c r="U751" s="52"/>
      <c r="V751" s="52"/>
      <c r="W751" s="52"/>
      <c r="X751" s="52"/>
      <c r="Y751" s="52"/>
      <c r="Z751" s="52"/>
    </row>
    <row r="752">
      <c r="A752" s="11"/>
      <c r="B752" s="89"/>
      <c r="C752" s="11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69"/>
      <c r="Q752" s="4"/>
      <c r="R752" s="52"/>
      <c r="S752" s="52"/>
      <c r="T752" s="52"/>
      <c r="U752" s="52"/>
      <c r="V752" s="52"/>
      <c r="W752" s="52"/>
      <c r="X752" s="52"/>
      <c r="Y752" s="52"/>
      <c r="Z752" s="52"/>
    </row>
    <row r="753">
      <c r="A753" s="11"/>
      <c r="B753" s="89"/>
      <c r="C753" s="11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69"/>
      <c r="Q753" s="4"/>
      <c r="R753" s="52"/>
      <c r="S753" s="52"/>
      <c r="T753" s="52"/>
      <c r="U753" s="52"/>
      <c r="V753" s="52"/>
      <c r="W753" s="52"/>
      <c r="X753" s="52"/>
      <c r="Y753" s="52"/>
      <c r="Z753" s="52"/>
    </row>
    <row r="754">
      <c r="A754" s="11"/>
      <c r="B754" s="89"/>
      <c r="C754" s="11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69"/>
      <c r="Q754" s="4"/>
      <c r="R754" s="52"/>
      <c r="S754" s="52"/>
      <c r="T754" s="52"/>
      <c r="U754" s="52"/>
      <c r="V754" s="52"/>
      <c r="W754" s="52"/>
      <c r="X754" s="52"/>
      <c r="Y754" s="52"/>
      <c r="Z754" s="52"/>
    </row>
    <row r="755">
      <c r="A755" s="11"/>
      <c r="B755" s="89"/>
      <c r="C755" s="11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69"/>
      <c r="Q755" s="4"/>
      <c r="R755" s="52"/>
      <c r="S755" s="52"/>
      <c r="T755" s="52"/>
      <c r="U755" s="52"/>
      <c r="V755" s="52"/>
      <c r="W755" s="52"/>
      <c r="X755" s="52"/>
      <c r="Y755" s="52"/>
      <c r="Z755" s="52"/>
    </row>
    <row r="756">
      <c r="A756" s="11"/>
      <c r="B756" s="89"/>
      <c r="C756" s="11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69"/>
      <c r="Q756" s="4"/>
      <c r="R756" s="52"/>
      <c r="S756" s="52"/>
      <c r="T756" s="52"/>
      <c r="U756" s="52"/>
      <c r="V756" s="52"/>
      <c r="W756" s="52"/>
      <c r="X756" s="52"/>
      <c r="Y756" s="52"/>
      <c r="Z756" s="52"/>
    </row>
    <row r="757">
      <c r="A757" s="11"/>
      <c r="B757" s="89"/>
      <c r="C757" s="11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69"/>
      <c r="Q757" s="4"/>
      <c r="R757" s="52"/>
      <c r="S757" s="52"/>
      <c r="T757" s="52"/>
      <c r="U757" s="52"/>
      <c r="V757" s="52"/>
      <c r="W757" s="52"/>
      <c r="X757" s="52"/>
      <c r="Y757" s="52"/>
      <c r="Z757" s="52"/>
    </row>
    <row r="758">
      <c r="A758" s="11"/>
      <c r="B758" s="89"/>
      <c r="C758" s="11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69"/>
      <c r="Q758" s="4"/>
      <c r="R758" s="52"/>
      <c r="S758" s="52"/>
      <c r="T758" s="52"/>
      <c r="U758" s="52"/>
      <c r="V758" s="52"/>
      <c r="W758" s="52"/>
      <c r="X758" s="52"/>
      <c r="Y758" s="52"/>
      <c r="Z758" s="52"/>
    </row>
    <row r="759">
      <c r="A759" s="11"/>
      <c r="B759" s="89"/>
      <c r="C759" s="11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69"/>
      <c r="Q759" s="4"/>
      <c r="R759" s="52"/>
      <c r="S759" s="52"/>
      <c r="T759" s="52"/>
      <c r="U759" s="52"/>
      <c r="V759" s="52"/>
      <c r="W759" s="52"/>
      <c r="X759" s="52"/>
      <c r="Y759" s="52"/>
      <c r="Z759" s="52"/>
    </row>
    <row r="760">
      <c r="A760" s="11"/>
      <c r="B760" s="89"/>
      <c r="C760" s="11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69"/>
      <c r="Q760" s="4"/>
      <c r="R760" s="52"/>
      <c r="S760" s="52"/>
      <c r="T760" s="52"/>
      <c r="U760" s="52"/>
      <c r="V760" s="52"/>
      <c r="W760" s="52"/>
      <c r="X760" s="52"/>
      <c r="Y760" s="52"/>
      <c r="Z760" s="52"/>
    </row>
    <row r="761">
      <c r="A761" s="11"/>
      <c r="B761" s="89"/>
      <c r="C761" s="11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69"/>
      <c r="Q761" s="4"/>
      <c r="R761" s="52"/>
      <c r="S761" s="52"/>
      <c r="T761" s="52"/>
      <c r="U761" s="52"/>
      <c r="V761" s="52"/>
      <c r="W761" s="52"/>
      <c r="X761" s="52"/>
      <c r="Y761" s="52"/>
      <c r="Z761" s="52"/>
    </row>
    <row r="762">
      <c r="A762" s="11"/>
      <c r="B762" s="89"/>
      <c r="C762" s="11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69"/>
      <c r="Q762" s="4"/>
      <c r="R762" s="52"/>
      <c r="S762" s="52"/>
      <c r="T762" s="52"/>
      <c r="U762" s="52"/>
      <c r="V762" s="52"/>
      <c r="W762" s="52"/>
      <c r="X762" s="52"/>
      <c r="Y762" s="52"/>
      <c r="Z762" s="52"/>
    </row>
    <row r="763">
      <c r="A763" s="11"/>
      <c r="B763" s="89"/>
      <c r="C763" s="11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69"/>
      <c r="Q763" s="4"/>
      <c r="R763" s="52"/>
      <c r="S763" s="52"/>
      <c r="T763" s="52"/>
      <c r="U763" s="52"/>
      <c r="V763" s="52"/>
      <c r="W763" s="52"/>
      <c r="X763" s="52"/>
      <c r="Y763" s="52"/>
      <c r="Z763" s="52"/>
    </row>
    <row r="764">
      <c r="A764" s="11"/>
      <c r="B764" s="89"/>
      <c r="C764" s="11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69"/>
      <c r="Q764" s="4"/>
      <c r="R764" s="52"/>
      <c r="S764" s="52"/>
      <c r="T764" s="52"/>
      <c r="U764" s="52"/>
      <c r="V764" s="52"/>
      <c r="W764" s="52"/>
      <c r="X764" s="52"/>
      <c r="Y764" s="52"/>
      <c r="Z764" s="52"/>
    </row>
    <row r="765">
      <c r="A765" s="11"/>
      <c r="B765" s="89"/>
      <c r="C765" s="11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69"/>
      <c r="Q765" s="4"/>
      <c r="R765" s="52"/>
      <c r="S765" s="52"/>
      <c r="T765" s="52"/>
      <c r="U765" s="52"/>
      <c r="V765" s="52"/>
      <c r="W765" s="52"/>
      <c r="X765" s="52"/>
      <c r="Y765" s="52"/>
      <c r="Z765" s="52"/>
    </row>
    <row r="766">
      <c r="A766" s="11"/>
      <c r="B766" s="89"/>
      <c r="C766" s="11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69"/>
      <c r="Q766" s="4"/>
      <c r="R766" s="52"/>
      <c r="S766" s="52"/>
      <c r="T766" s="52"/>
      <c r="U766" s="52"/>
      <c r="V766" s="52"/>
      <c r="W766" s="52"/>
      <c r="X766" s="52"/>
      <c r="Y766" s="52"/>
      <c r="Z766" s="52"/>
    </row>
    <row r="767">
      <c r="A767" s="11"/>
      <c r="B767" s="89"/>
      <c r="C767" s="11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69"/>
      <c r="Q767" s="4"/>
      <c r="R767" s="52"/>
      <c r="S767" s="52"/>
      <c r="T767" s="52"/>
      <c r="U767" s="52"/>
      <c r="V767" s="52"/>
      <c r="W767" s="52"/>
      <c r="X767" s="52"/>
      <c r="Y767" s="52"/>
      <c r="Z767" s="52"/>
    </row>
    <row r="768">
      <c r="A768" s="11"/>
      <c r="B768" s="89"/>
      <c r="C768" s="11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69"/>
      <c r="Q768" s="4"/>
      <c r="R768" s="52"/>
      <c r="S768" s="52"/>
      <c r="T768" s="52"/>
      <c r="U768" s="52"/>
      <c r="V768" s="52"/>
      <c r="W768" s="52"/>
      <c r="X768" s="52"/>
      <c r="Y768" s="52"/>
      <c r="Z768" s="52"/>
    </row>
    <row r="769">
      <c r="A769" s="11"/>
      <c r="B769" s="89"/>
      <c r="C769" s="11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69"/>
      <c r="Q769" s="4"/>
      <c r="R769" s="52"/>
      <c r="S769" s="52"/>
      <c r="T769" s="52"/>
      <c r="U769" s="52"/>
      <c r="V769" s="52"/>
      <c r="W769" s="52"/>
      <c r="X769" s="52"/>
      <c r="Y769" s="52"/>
      <c r="Z769" s="52"/>
    </row>
    <row r="770">
      <c r="A770" s="11"/>
      <c r="B770" s="89"/>
      <c r="C770" s="11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69"/>
      <c r="Q770" s="4"/>
      <c r="R770" s="52"/>
      <c r="S770" s="52"/>
      <c r="T770" s="52"/>
      <c r="U770" s="52"/>
      <c r="V770" s="52"/>
      <c r="W770" s="52"/>
      <c r="X770" s="52"/>
      <c r="Y770" s="52"/>
      <c r="Z770" s="52"/>
    </row>
    <row r="771">
      <c r="A771" s="11"/>
      <c r="B771" s="89"/>
      <c r="C771" s="11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69"/>
      <c r="Q771" s="4"/>
      <c r="R771" s="52"/>
      <c r="S771" s="52"/>
      <c r="T771" s="52"/>
      <c r="U771" s="52"/>
      <c r="V771" s="52"/>
      <c r="W771" s="52"/>
      <c r="X771" s="52"/>
      <c r="Y771" s="52"/>
      <c r="Z771" s="52"/>
    </row>
    <row r="772">
      <c r="A772" s="11"/>
      <c r="B772" s="89"/>
      <c r="C772" s="11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69"/>
      <c r="Q772" s="4"/>
      <c r="R772" s="52"/>
      <c r="S772" s="52"/>
      <c r="T772" s="52"/>
      <c r="U772" s="52"/>
      <c r="V772" s="52"/>
      <c r="W772" s="52"/>
      <c r="X772" s="52"/>
      <c r="Y772" s="52"/>
      <c r="Z772" s="52"/>
    </row>
    <row r="773">
      <c r="A773" s="11"/>
      <c r="B773" s="89"/>
      <c r="C773" s="11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69"/>
      <c r="Q773" s="4"/>
      <c r="R773" s="52"/>
      <c r="S773" s="52"/>
      <c r="T773" s="52"/>
      <c r="U773" s="52"/>
      <c r="V773" s="52"/>
      <c r="W773" s="52"/>
      <c r="X773" s="52"/>
      <c r="Y773" s="52"/>
      <c r="Z773" s="52"/>
    </row>
    <row r="774">
      <c r="A774" s="11"/>
      <c r="B774" s="89"/>
      <c r="C774" s="11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69"/>
      <c r="Q774" s="4"/>
      <c r="R774" s="52"/>
      <c r="S774" s="52"/>
      <c r="T774" s="52"/>
      <c r="U774" s="52"/>
      <c r="V774" s="52"/>
      <c r="W774" s="52"/>
      <c r="X774" s="52"/>
      <c r="Y774" s="52"/>
      <c r="Z774" s="52"/>
    </row>
    <row r="775">
      <c r="A775" s="11"/>
      <c r="B775" s="89"/>
      <c r="C775" s="11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69"/>
      <c r="Q775" s="4"/>
      <c r="R775" s="52"/>
      <c r="S775" s="52"/>
      <c r="T775" s="52"/>
      <c r="U775" s="52"/>
      <c r="V775" s="52"/>
      <c r="W775" s="52"/>
      <c r="X775" s="52"/>
      <c r="Y775" s="52"/>
      <c r="Z775" s="52"/>
    </row>
    <row r="776">
      <c r="A776" s="11"/>
      <c r="B776" s="89"/>
      <c r="C776" s="11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69"/>
      <c r="Q776" s="4"/>
      <c r="R776" s="52"/>
      <c r="S776" s="52"/>
      <c r="T776" s="52"/>
      <c r="U776" s="52"/>
      <c r="V776" s="52"/>
      <c r="W776" s="52"/>
      <c r="X776" s="52"/>
      <c r="Y776" s="52"/>
      <c r="Z776" s="52"/>
    </row>
    <row r="777">
      <c r="A777" s="11"/>
      <c r="B777" s="89"/>
      <c r="C777" s="11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69"/>
      <c r="Q777" s="4"/>
      <c r="R777" s="52"/>
      <c r="S777" s="52"/>
      <c r="T777" s="52"/>
      <c r="U777" s="52"/>
      <c r="V777" s="52"/>
      <c r="W777" s="52"/>
      <c r="X777" s="52"/>
      <c r="Y777" s="52"/>
      <c r="Z777" s="52"/>
    </row>
    <row r="778">
      <c r="A778" s="11"/>
      <c r="B778" s="89"/>
      <c r="C778" s="11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69"/>
      <c r="Q778" s="4"/>
      <c r="R778" s="52"/>
      <c r="S778" s="52"/>
      <c r="T778" s="52"/>
      <c r="U778" s="52"/>
      <c r="V778" s="52"/>
      <c r="W778" s="52"/>
      <c r="X778" s="52"/>
      <c r="Y778" s="52"/>
      <c r="Z778" s="52"/>
    </row>
    <row r="779">
      <c r="A779" s="11"/>
      <c r="B779" s="89"/>
      <c r="C779" s="11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69"/>
      <c r="Q779" s="4"/>
      <c r="R779" s="52"/>
      <c r="S779" s="52"/>
      <c r="T779" s="52"/>
      <c r="U779" s="52"/>
      <c r="V779" s="52"/>
      <c r="W779" s="52"/>
      <c r="X779" s="52"/>
      <c r="Y779" s="52"/>
      <c r="Z779" s="52"/>
    </row>
    <row r="780">
      <c r="A780" s="11"/>
      <c r="B780" s="89"/>
      <c r="C780" s="11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69"/>
      <c r="Q780" s="4"/>
      <c r="R780" s="52"/>
      <c r="S780" s="52"/>
      <c r="T780" s="52"/>
      <c r="U780" s="52"/>
      <c r="V780" s="52"/>
      <c r="W780" s="52"/>
      <c r="X780" s="52"/>
      <c r="Y780" s="52"/>
      <c r="Z780" s="52"/>
    </row>
    <row r="781">
      <c r="A781" s="11"/>
      <c r="B781" s="89"/>
      <c r="C781" s="11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69"/>
      <c r="Q781" s="4"/>
      <c r="R781" s="52"/>
      <c r="S781" s="52"/>
      <c r="T781" s="52"/>
      <c r="U781" s="52"/>
      <c r="V781" s="52"/>
      <c r="W781" s="52"/>
      <c r="X781" s="52"/>
      <c r="Y781" s="52"/>
      <c r="Z781" s="52"/>
    </row>
    <row r="782">
      <c r="A782" s="11"/>
      <c r="B782" s="89"/>
      <c r="C782" s="11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69"/>
      <c r="Q782" s="4"/>
      <c r="R782" s="52"/>
      <c r="S782" s="52"/>
      <c r="T782" s="52"/>
      <c r="U782" s="52"/>
      <c r="V782" s="52"/>
      <c r="W782" s="52"/>
      <c r="X782" s="52"/>
      <c r="Y782" s="52"/>
      <c r="Z782" s="52"/>
    </row>
    <row r="783">
      <c r="A783" s="11"/>
      <c r="B783" s="89"/>
      <c r="C783" s="11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69"/>
      <c r="Q783" s="4"/>
      <c r="R783" s="52"/>
      <c r="S783" s="52"/>
      <c r="T783" s="52"/>
      <c r="U783" s="52"/>
      <c r="V783" s="52"/>
      <c r="W783" s="52"/>
      <c r="X783" s="52"/>
      <c r="Y783" s="52"/>
      <c r="Z783" s="52"/>
    </row>
    <row r="784">
      <c r="A784" s="11"/>
      <c r="B784" s="89"/>
      <c r="C784" s="11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69"/>
      <c r="Q784" s="4"/>
      <c r="R784" s="52"/>
      <c r="S784" s="52"/>
      <c r="T784" s="52"/>
      <c r="U784" s="52"/>
      <c r="V784" s="52"/>
      <c r="W784" s="52"/>
      <c r="X784" s="52"/>
      <c r="Y784" s="52"/>
      <c r="Z784" s="52"/>
    </row>
    <row r="785">
      <c r="A785" s="11"/>
      <c r="B785" s="89"/>
      <c r="C785" s="11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69"/>
      <c r="Q785" s="4"/>
      <c r="R785" s="52"/>
      <c r="S785" s="52"/>
      <c r="T785" s="52"/>
      <c r="U785" s="52"/>
      <c r="V785" s="52"/>
      <c r="W785" s="52"/>
      <c r="X785" s="52"/>
      <c r="Y785" s="52"/>
      <c r="Z785" s="52"/>
    </row>
    <row r="786">
      <c r="A786" s="11"/>
      <c r="B786" s="89"/>
      <c r="C786" s="11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69"/>
      <c r="Q786" s="4"/>
      <c r="R786" s="52"/>
      <c r="S786" s="52"/>
      <c r="T786" s="52"/>
      <c r="U786" s="52"/>
      <c r="V786" s="52"/>
      <c r="W786" s="52"/>
      <c r="X786" s="52"/>
      <c r="Y786" s="52"/>
      <c r="Z786" s="52"/>
    </row>
    <row r="787">
      <c r="A787" s="11"/>
      <c r="B787" s="89"/>
      <c r="C787" s="11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69"/>
      <c r="Q787" s="4"/>
      <c r="R787" s="52"/>
      <c r="S787" s="52"/>
      <c r="T787" s="52"/>
      <c r="U787" s="52"/>
      <c r="V787" s="52"/>
      <c r="W787" s="52"/>
      <c r="X787" s="52"/>
      <c r="Y787" s="52"/>
      <c r="Z787" s="52"/>
    </row>
    <row r="788">
      <c r="A788" s="11"/>
      <c r="B788" s="89"/>
      <c r="C788" s="11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69"/>
      <c r="Q788" s="4"/>
      <c r="R788" s="52"/>
      <c r="S788" s="52"/>
      <c r="T788" s="52"/>
      <c r="U788" s="52"/>
      <c r="V788" s="52"/>
      <c r="W788" s="52"/>
      <c r="X788" s="52"/>
      <c r="Y788" s="52"/>
      <c r="Z788" s="52"/>
    </row>
    <row r="789">
      <c r="A789" s="11"/>
      <c r="B789" s="89"/>
      <c r="C789" s="11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69"/>
      <c r="Q789" s="4"/>
      <c r="R789" s="52"/>
      <c r="S789" s="52"/>
      <c r="T789" s="52"/>
      <c r="U789" s="52"/>
      <c r="V789" s="52"/>
      <c r="W789" s="52"/>
      <c r="X789" s="52"/>
      <c r="Y789" s="52"/>
      <c r="Z789" s="52"/>
    </row>
    <row r="790">
      <c r="A790" s="11"/>
      <c r="B790" s="89"/>
      <c r="C790" s="11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69"/>
      <c r="Q790" s="4"/>
      <c r="R790" s="52"/>
      <c r="S790" s="52"/>
      <c r="T790" s="52"/>
      <c r="U790" s="52"/>
      <c r="V790" s="52"/>
      <c r="W790" s="52"/>
      <c r="X790" s="52"/>
      <c r="Y790" s="52"/>
      <c r="Z790" s="52"/>
    </row>
    <row r="791">
      <c r="A791" s="11"/>
      <c r="B791" s="89"/>
      <c r="C791" s="11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69"/>
      <c r="Q791" s="4"/>
      <c r="R791" s="52"/>
      <c r="S791" s="52"/>
      <c r="T791" s="52"/>
      <c r="U791" s="52"/>
      <c r="V791" s="52"/>
      <c r="W791" s="52"/>
      <c r="X791" s="52"/>
      <c r="Y791" s="52"/>
      <c r="Z791" s="52"/>
    </row>
    <row r="792">
      <c r="A792" s="11"/>
      <c r="B792" s="89"/>
      <c r="C792" s="11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69"/>
      <c r="Q792" s="4"/>
      <c r="R792" s="52"/>
      <c r="S792" s="52"/>
      <c r="T792" s="52"/>
      <c r="U792" s="52"/>
      <c r="V792" s="52"/>
      <c r="W792" s="52"/>
      <c r="X792" s="52"/>
      <c r="Y792" s="52"/>
      <c r="Z792" s="52"/>
    </row>
    <row r="793">
      <c r="A793" s="11"/>
      <c r="B793" s="89"/>
      <c r="C793" s="11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69"/>
      <c r="Q793" s="4"/>
      <c r="R793" s="52"/>
      <c r="S793" s="52"/>
      <c r="T793" s="52"/>
      <c r="U793" s="52"/>
      <c r="V793" s="52"/>
      <c r="W793" s="52"/>
      <c r="X793" s="52"/>
      <c r="Y793" s="52"/>
      <c r="Z793" s="52"/>
    </row>
    <row r="794">
      <c r="A794" s="11"/>
      <c r="B794" s="89"/>
      <c r="C794" s="11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69"/>
      <c r="Q794" s="4"/>
      <c r="R794" s="52"/>
      <c r="S794" s="52"/>
      <c r="T794" s="52"/>
      <c r="U794" s="52"/>
      <c r="V794" s="52"/>
      <c r="W794" s="52"/>
      <c r="X794" s="52"/>
      <c r="Y794" s="52"/>
      <c r="Z794" s="52"/>
    </row>
    <row r="795">
      <c r="A795" s="11"/>
      <c r="B795" s="89"/>
      <c r="C795" s="11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69"/>
      <c r="Q795" s="4"/>
      <c r="R795" s="52"/>
      <c r="S795" s="52"/>
      <c r="T795" s="52"/>
      <c r="U795" s="52"/>
      <c r="V795" s="52"/>
      <c r="W795" s="52"/>
      <c r="X795" s="52"/>
      <c r="Y795" s="52"/>
      <c r="Z795" s="52"/>
    </row>
    <row r="796">
      <c r="A796" s="11"/>
      <c r="B796" s="89"/>
      <c r="C796" s="11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69"/>
      <c r="Q796" s="4"/>
      <c r="R796" s="52"/>
      <c r="S796" s="52"/>
      <c r="T796" s="52"/>
      <c r="U796" s="52"/>
      <c r="V796" s="52"/>
      <c r="W796" s="52"/>
      <c r="X796" s="52"/>
      <c r="Y796" s="52"/>
      <c r="Z796" s="52"/>
    </row>
    <row r="797">
      <c r="A797" s="11"/>
      <c r="B797" s="89"/>
      <c r="C797" s="11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69"/>
      <c r="Q797" s="4"/>
      <c r="R797" s="52"/>
      <c r="S797" s="52"/>
      <c r="T797" s="52"/>
      <c r="U797" s="52"/>
      <c r="V797" s="52"/>
      <c r="W797" s="52"/>
      <c r="X797" s="52"/>
      <c r="Y797" s="52"/>
      <c r="Z797" s="52"/>
    </row>
    <row r="798">
      <c r="A798" s="11"/>
      <c r="B798" s="89"/>
      <c r="C798" s="11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69"/>
      <c r="Q798" s="4"/>
      <c r="R798" s="52"/>
      <c r="S798" s="52"/>
      <c r="T798" s="52"/>
      <c r="U798" s="52"/>
      <c r="V798" s="52"/>
      <c r="W798" s="52"/>
      <c r="X798" s="52"/>
      <c r="Y798" s="52"/>
      <c r="Z798" s="52"/>
    </row>
    <row r="799">
      <c r="A799" s="11"/>
      <c r="B799" s="89"/>
      <c r="C799" s="11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69"/>
      <c r="Q799" s="4"/>
      <c r="R799" s="52"/>
      <c r="S799" s="52"/>
      <c r="T799" s="52"/>
      <c r="U799" s="52"/>
      <c r="V799" s="52"/>
      <c r="W799" s="52"/>
      <c r="X799" s="52"/>
      <c r="Y799" s="52"/>
      <c r="Z799" s="52"/>
    </row>
    <row r="800">
      <c r="A800" s="11"/>
      <c r="B800" s="89"/>
      <c r="C800" s="11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69"/>
      <c r="Q800" s="4"/>
      <c r="R800" s="52"/>
      <c r="S800" s="52"/>
      <c r="T800" s="52"/>
      <c r="U800" s="52"/>
      <c r="V800" s="52"/>
      <c r="W800" s="52"/>
      <c r="X800" s="52"/>
      <c r="Y800" s="52"/>
      <c r="Z800" s="52"/>
    </row>
    <row r="801">
      <c r="A801" s="11"/>
      <c r="B801" s="89"/>
      <c r="C801" s="11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69"/>
      <c r="Q801" s="4"/>
      <c r="R801" s="52"/>
      <c r="S801" s="52"/>
      <c r="T801" s="52"/>
      <c r="U801" s="52"/>
      <c r="V801" s="52"/>
      <c r="W801" s="52"/>
      <c r="X801" s="52"/>
      <c r="Y801" s="52"/>
      <c r="Z801" s="52"/>
    </row>
    <row r="802">
      <c r="A802" s="11"/>
      <c r="B802" s="89"/>
      <c r="C802" s="11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69"/>
      <c r="Q802" s="4"/>
      <c r="R802" s="52"/>
      <c r="S802" s="52"/>
      <c r="T802" s="52"/>
      <c r="U802" s="52"/>
      <c r="V802" s="52"/>
      <c r="W802" s="52"/>
      <c r="X802" s="52"/>
      <c r="Y802" s="52"/>
      <c r="Z802" s="52"/>
    </row>
    <row r="803">
      <c r="A803" s="11"/>
      <c r="B803" s="89"/>
      <c r="C803" s="11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69"/>
      <c r="Q803" s="4"/>
      <c r="R803" s="52"/>
      <c r="S803" s="52"/>
      <c r="T803" s="52"/>
      <c r="U803" s="52"/>
      <c r="V803" s="52"/>
      <c r="W803" s="52"/>
      <c r="X803" s="52"/>
      <c r="Y803" s="52"/>
      <c r="Z803" s="52"/>
    </row>
    <row r="804">
      <c r="A804" s="11"/>
      <c r="B804" s="89"/>
      <c r="C804" s="11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69"/>
      <c r="Q804" s="4"/>
      <c r="R804" s="52"/>
      <c r="S804" s="52"/>
      <c r="T804" s="52"/>
      <c r="U804" s="52"/>
      <c r="V804" s="52"/>
      <c r="W804" s="52"/>
      <c r="X804" s="52"/>
      <c r="Y804" s="52"/>
      <c r="Z804" s="52"/>
    </row>
    <row r="805">
      <c r="A805" s="11"/>
      <c r="B805" s="89"/>
      <c r="C805" s="11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69"/>
      <c r="Q805" s="4"/>
      <c r="R805" s="52"/>
      <c r="S805" s="52"/>
      <c r="T805" s="52"/>
      <c r="U805" s="52"/>
      <c r="V805" s="52"/>
      <c r="W805" s="52"/>
      <c r="X805" s="52"/>
      <c r="Y805" s="52"/>
      <c r="Z805" s="52"/>
    </row>
    <row r="806">
      <c r="A806" s="11"/>
      <c r="B806" s="89"/>
      <c r="C806" s="11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69"/>
      <c r="Q806" s="4"/>
      <c r="R806" s="52"/>
      <c r="S806" s="52"/>
      <c r="T806" s="52"/>
      <c r="U806" s="52"/>
      <c r="V806" s="52"/>
      <c r="W806" s="52"/>
      <c r="X806" s="52"/>
      <c r="Y806" s="52"/>
      <c r="Z806" s="52"/>
    </row>
    <row r="807">
      <c r="A807" s="11"/>
      <c r="B807" s="89"/>
      <c r="C807" s="11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69"/>
      <c r="Q807" s="4"/>
      <c r="R807" s="52"/>
      <c r="S807" s="52"/>
      <c r="T807" s="52"/>
      <c r="U807" s="52"/>
      <c r="V807" s="52"/>
      <c r="W807" s="52"/>
      <c r="X807" s="52"/>
      <c r="Y807" s="52"/>
      <c r="Z807" s="52"/>
    </row>
    <row r="808">
      <c r="A808" s="11"/>
      <c r="B808" s="89"/>
      <c r="C808" s="11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69"/>
      <c r="Q808" s="4"/>
      <c r="R808" s="52"/>
      <c r="S808" s="52"/>
      <c r="T808" s="52"/>
      <c r="U808" s="52"/>
      <c r="V808" s="52"/>
      <c r="W808" s="52"/>
      <c r="X808" s="52"/>
      <c r="Y808" s="52"/>
      <c r="Z808" s="52"/>
    </row>
    <row r="809">
      <c r="A809" s="11"/>
      <c r="B809" s="89"/>
      <c r="C809" s="11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69"/>
      <c r="Q809" s="4"/>
      <c r="R809" s="52"/>
      <c r="S809" s="52"/>
      <c r="T809" s="52"/>
      <c r="U809" s="52"/>
      <c r="V809" s="52"/>
      <c r="W809" s="52"/>
      <c r="X809" s="52"/>
      <c r="Y809" s="52"/>
      <c r="Z809" s="52"/>
    </row>
    <row r="810">
      <c r="A810" s="11"/>
      <c r="B810" s="89"/>
      <c r="C810" s="11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69"/>
      <c r="Q810" s="4"/>
      <c r="R810" s="52"/>
      <c r="S810" s="52"/>
      <c r="T810" s="52"/>
      <c r="U810" s="52"/>
      <c r="V810" s="52"/>
      <c r="W810" s="52"/>
      <c r="X810" s="52"/>
      <c r="Y810" s="52"/>
      <c r="Z810" s="52"/>
    </row>
    <row r="811">
      <c r="A811" s="11"/>
      <c r="B811" s="89"/>
      <c r="C811" s="11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69"/>
      <c r="Q811" s="4"/>
      <c r="R811" s="52"/>
      <c r="S811" s="52"/>
      <c r="T811" s="52"/>
      <c r="U811" s="52"/>
      <c r="V811" s="52"/>
      <c r="W811" s="52"/>
      <c r="X811" s="52"/>
      <c r="Y811" s="52"/>
      <c r="Z811" s="52"/>
    </row>
    <row r="812">
      <c r="A812" s="11"/>
      <c r="B812" s="89"/>
      <c r="C812" s="11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69"/>
      <c r="Q812" s="4"/>
      <c r="R812" s="52"/>
      <c r="S812" s="52"/>
      <c r="T812" s="52"/>
      <c r="U812" s="52"/>
      <c r="V812" s="52"/>
      <c r="W812" s="52"/>
      <c r="X812" s="52"/>
      <c r="Y812" s="52"/>
      <c r="Z812" s="52"/>
    </row>
    <row r="813">
      <c r="A813" s="11"/>
      <c r="B813" s="89"/>
      <c r="C813" s="11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69"/>
      <c r="Q813" s="4"/>
      <c r="R813" s="52"/>
      <c r="S813" s="52"/>
      <c r="T813" s="52"/>
      <c r="U813" s="52"/>
      <c r="V813" s="52"/>
      <c r="W813" s="52"/>
      <c r="X813" s="52"/>
      <c r="Y813" s="52"/>
      <c r="Z813" s="52"/>
    </row>
    <row r="814">
      <c r="A814" s="11"/>
      <c r="B814" s="89"/>
      <c r="C814" s="11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69"/>
      <c r="Q814" s="4"/>
      <c r="R814" s="52"/>
      <c r="S814" s="52"/>
      <c r="T814" s="52"/>
      <c r="U814" s="52"/>
      <c r="V814" s="52"/>
      <c r="W814" s="52"/>
      <c r="X814" s="52"/>
      <c r="Y814" s="52"/>
      <c r="Z814" s="52"/>
    </row>
    <row r="815">
      <c r="A815" s="11"/>
      <c r="B815" s="89"/>
      <c r="C815" s="11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69"/>
      <c r="Q815" s="4"/>
      <c r="R815" s="52"/>
      <c r="S815" s="52"/>
      <c r="T815" s="52"/>
      <c r="U815" s="52"/>
      <c r="V815" s="52"/>
      <c r="W815" s="52"/>
      <c r="X815" s="52"/>
      <c r="Y815" s="52"/>
      <c r="Z815" s="52"/>
    </row>
    <row r="816">
      <c r="A816" s="11"/>
      <c r="B816" s="89"/>
      <c r="C816" s="11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69"/>
      <c r="Q816" s="4"/>
      <c r="R816" s="52"/>
      <c r="S816" s="52"/>
      <c r="T816" s="52"/>
      <c r="U816" s="52"/>
      <c r="V816" s="52"/>
      <c r="W816" s="52"/>
      <c r="X816" s="52"/>
      <c r="Y816" s="52"/>
      <c r="Z816" s="52"/>
    </row>
    <row r="817">
      <c r="A817" s="11"/>
      <c r="B817" s="89"/>
      <c r="C817" s="11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69"/>
      <c r="Q817" s="4"/>
      <c r="R817" s="52"/>
      <c r="S817" s="52"/>
      <c r="T817" s="52"/>
      <c r="U817" s="52"/>
      <c r="V817" s="52"/>
      <c r="W817" s="52"/>
      <c r="X817" s="52"/>
      <c r="Y817" s="52"/>
      <c r="Z817" s="52"/>
    </row>
    <row r="818">
      <c r="A818" s="11"/>
      <c r="B818" s="89"/>
      <c r="C818" s="11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69"/>
      <c r="Q818" s="4"/>
      <c r="R818" s="52"/>
      <c r="S818" s="52"/>
      <c r="T818" s="52"/>
      <c r="U818" s="52"/>
      <c r="V818" s="52"/>
      <c r="W818" s="52"/>
      <c r="X818" s="52"/>
      <c r="Y818" s="52"/>
      <c r="Z818" s="52"/>
    </row>
    <row r="819">
      <c r="A819" s="11"/>
      <c r="B819" s="89"/>
      <c r="C819" s="11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69"/>
      <c r="Q819" s="4"/>
      <c r="R819" s="52"/>
      <c r="S819" s="52"/>
      <c r="T819" s="52"/>
      <c r="U819" s="52"/>
      <c r="V819" s="52"/>
      <c r="W819" s="52"/>
      <c r="X819" s="52"/>
      <c r="Y819" s="52"/>
      <c r="Z819" s="52"/>
    </row>
    <row r="820">
      <c r="A820" s="11"/>
      <c r="B820" s="89"/>
      <c r="C820" s="11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69"/>
      <c r="Q820" s="4"/>
      <c r="R820" s="52"/>
      <c r="S820" s="52"/>
      <c r="T820" s="52"/>
      <c r="U820" s="52"/>
      <c r="V820" s="52"/>
      <c r="W820" s="52"/>
      <c r="X820" s="52"/>
      <c r="Y820" s="52"/>
      <c r="Z820" s="52"/>
    </row>
    <row r="821">
      <c r="A821" s="11"/>
      <c r="B821" s="89"/>
      <c r="C821" s="11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69"/>
      <c r="Q821" s="4"/>
      <c r="R821" s="52"/>
      <c r="S821" s="52"/>
      <c r="T821" s="52"/>
      <c r="U821" s="52"/>
      <c r="V821" s="52"/>
      <c r="W821" s="52"/>
      <c r="X821" s="52"/>
      <c r="Y821" s="52"/>
      <c r="Z821" s="52"/>
    </row>
    <row r="822">
      <c r="A822" s="11"/>
      <c r="B822" s="89"/>
      <c r="C822" s="11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69"/>
      <c r="Q822" s="4"/>
      <c r="R822" s="52"/>
      <c r="S822" s="52"/>
      <c r="T822" s="52"/>
      <c r="U822" s="52"/>
      <c r="V822" s="52"/>
      <c r="W822" s="52"/>
      <c r="X822" s="52"/>
      <c r="Y822" s="52"/>
      <c r="Z822" s="52"/>
    </row>
    <row r="823">
      <c r="A823" s="11"/>
      <c r="B823" s="89"/>
      <c r="C823" s="11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69"/>
      <c r="Q823" s="4"/>
      <c r="R823" s="52"/>
      <c r="S823" s="52"/>
      <c r="T823" s="52"/>
      <c r="U823" s="52"/>
      <c r="V823" s="52"/>
      <c r="W823" s="52"/>
      <c r="X823" s="52"/>
      <c r="Y823" s="52"/>
      <c r="Z823" s="52"/>
    </row>
    <row r="824">
      <c r="A824" s="11"/>
      <c r="B824" s="89"/>
      <c r="C824" s="11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69"/>
      <c r="Q824" s="4"/>
      <c r="R824" s="52"/>
      <c r="S824" s="52"/>
      <c r="T824" s="52"/>
      <c r="U824" s="52"/>
      <c r="V824" s="52"/>
      <c r="W824" s="52"/>
      <c r="X824" s="52"/>
      <c r="Y824" s="52"/>
      <c r="Z824" s="52"/>
    </row>
    <row r="825">
      <c r="A825" s="11"/>
      <c r="B825" s="89"/>
      <c r="C825" s="11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69"/>
      <c r="Q825" s="4"/>
      <c r="R825" s="52"/>
      <c r="S825" s="52"/>
      <c r="T825" s="52"/>
      <c r="U825" s="52"/>
      <c r="V825" s="52"/>
      <c r="W825" s="52"/>
      <c r="X825" s="52"/>
      <c r="Y825" s="52"/>
      <c r="Z825" s="52"/>
    </row>
    <row r="826">
      <c r="A826" s="11"/>
      <c r="B826" s="89"/>
      <c r="C826" s="11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69"/>
      <c r="Q826" s="4"/>
      <c r="R826" s="52"/>
      <c r="S826" s="52"/>
      <c r="T826" s="52"/>
      <c r="U826" s="52"/>
      <c r="V826" s="52"/>
      <c r="W826" s="52"/>
      <c r="X826" s="52"/>
      <c r="Y826" s="52"/>
      <c r="Z826" s="52"/>
    </row>
    <row r="827">
      <c r="A827" s="11"/>
      <c r="B827" s="89"/>
      <c r="C827" s="11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69"/>
      <c r="Q827" s="4"/>
      <c r="R827" s="52"/>
      <c r="S827" s="52"/>
      <c r="T827" s="52"/>
      <c r="U827" s="52"/>
      <c r="V827" s="52"/>
      <c r="W827" s="52"/>
      <c r="X827" s="52"/>
      <c r="Y827" s="52"/>
      <c r="Z827" s="52"/>
    </row>
    <row r="828">
      <c r="A828" s="11"/>
      <c r="B828" s="89"/>
      <c r="C828" s="11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69"/>
      <c r="Q828" s="4"/>
      <c r="R828" s="52"/>
      <c r="S828" s="52"/>
      <c r="T828" s="52"/>
      <c r="U828" s="52"/>
      <c r="V828" s="52"/>
      <c r="W828" s="52"/>
      <c r="X828" s="52"/>
      <c r="Y828" s="52"/>
      <c r="Z828" s="52"/>
    </row>
    <row r="829">
      <c r="A829" s="11"/>
      <c r="B829" s="89"/>
      <c r="C829" s="11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69"/>
      <c r="Q829" s="4"/>
      <c r="R829" s="52"/>
      <c r="S829" s="52"/>
      <c r="T829" s="52"/>
      <c r="U829" s="52"/>
      <c r="V829" s="52"/>
      <c r="W829" s="52"/>
      <c r="X829" s="52"/>
      <c r="Y829" s="52"/>
      <c r="Z829" s="52"/>
    </row>
    <row r="830">
      <c r="A830" s="11"/>
      <c r="B830" s="89"/>
      <c r="C830" s="11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69"/>
      <c r="Q830" s="4"/>
      <c r="R830" s="52"/>
      <c r="S830" s="52"/>
      <c r="T830" s="52"/>
      <c r="U830" s="52"/>
      <c r="V830" s="52"/>
      <c r="W830" s="52"/>
      <c r="X830" s="52"/>
      <c r="Y830" s="52"/>
      <c r="Z830" s="52"/>
    </row>
    <row r="831">
      <c r="A831" s="11"/>
      <c r="B831" s="89"/>
      <c r="C831" s="11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69"/>
      <c r="Q831" s="4"/>
      <c r="R831" s="52"/>
      <c r="S831" s="52"/>
      <c r="T831" s="52"/>
      <c r="U831" s="52"/>
      <c r="V831" s="52"/>
      <c r="W831" s="52"/>
      <c r="X831" s="52"/>
      <c r="Y831" s="52"/>
      <c r="Z831" s="52"/>
    </row>
    <row r="832">
      <c r="A832" s="11"/>
      <c r="B832" s="89"/>
      <c r="C832" s="11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69"/>
      <c r="Q832" s="4"/>
      <c r="R832" s="52"/>
      <c r="S832" s="52"/>
      <c r="T832" s="52"/>
      <c r="U832" s="52"/>
      <c r="V832" s="52"/>
      <c r="W832" s="52"/>
      <c r="X832" s="52"/>
      <c r="Y832" s="52"/>
      <c r="Z832" s="52"/>
    </row>
    <row r="833">
      <c r="A833" s="11"/>
      <c r="B833" s="89"/>
      <c r="C833" s="11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69"/>
      <c r="Q833" s="4"/>
      <c r="R833" s="52"/>
      <c r="S833" s="52"/>
      <c r="T833" s="52"/>
      <c r="U833" s="52"/>
      <c r="V833" s="52"/>
      <c r="W833" s="52"/>
      <c r="X833" s="52"/>
      <c r="Y833" s="52"/>
      <c r="Z833" s="52"/>
    </row>
    <row r="834">
      <c r="A834" s="11"/>
      <c r="B834" s="89"/>
      <c r="C834" s="11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69"/>
      <c r="Q834" s="4"/>
      <c r="R834" s="52"/>
      <c r="S834" s="52"/>
      <c r="T834" s="52"/>
      <c r="U834" s="52"/>
      <c r="V834" s="52"/>
      <c r="W834" s="52"/>
      <c r="X834" s="52"/>
      <c r="Y834" s="52"/>
      <c r="Z834" s="52"/>
    </row>
    <row r="835">
      <c r="A835" s="11"/>
      <c r="B835" s="89"/>
      <c r="C835" s="11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69"/>
      <c r="Q835" s="4"/>
      <c r="R835" s="52"/>
      <c r="S835" s="52"/>
      <c r="T835" s="52"/>
      <c r="U835" s="52"/>
      <c r="V835" s="52"/>
      <c r="W835" s="52"/>
      <c r="X835" s="52"/>
      <c r="Y835" s="52"/>
      <c r="Z835" s="52"/>
    </row>
    <row r="836">
      <c r="A836" s="11"/>
      <c r="B836" s="89"/>
      <c r="C836" s="11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69"/>
      <c r="Q836" s="4"/>
      <c r="R836" s="52"/>
      <c r="S836" s="52"/>
      <c r="T836" s="52"/>
      <c r="U836" s="52"/>
      <c r="V836" s="52"/>
      <c r="W836" s="52"/>
      <c r="X836" s="52"/>
      <c r="Y836" s="52"/>
      <c r="Z836" s="52"/>
    </row>
    <row r="837">
      <c r="A837" s="11"/>
      <c r="B837" s="89"/>
      <c r="C837" s="11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69"/>
      <c r="Q837" s="4"/>
      <c r="R837" s="52"/>
      <c r="S837" s="52"/>
      <c r="T837" s="52"/>
      <c r="U837" s="52"/>
      <c r="V837" s="52"/>
      <c r="W837" s="52"/>
      <c r="X837" s="52"/>
      <c r="Y837" s="52"/>
      <c r="Z837" s="52"/>
    </row>
    <row r="838">
      <c r="A838" s="11"/>
      <c r="B838" s="89"/>
      <c r="C838" s="11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69"/>
      <c r="Q838" s="4"/>
      <c r="R838" s="52"/>
      <c r="S838" s="52"/>
      <c r="T838" s="52"/>
      <c r="U838" s="52"/>
      <c r="V838" s="52"/>
      <c r="W838" s="52"/>
      <c r="X838" s="52"/>
      <c r="Y838" s="52"/>
      <c r="Z838" s="52"/>
    </row>
    <row r="839">
      <c r="A839" s="11"/>
      <c r="B839" s="89"/>
      <c r="C839" s="11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69"/>
      <c r="Q839" s="4"/>
      <c r="R839" s="52"/>
      <c r="S839" s="52"/>
      <c r="T839" s="52"/>
      <c r="U839" s="52"/>
      <c r="V839" s="52"/>
      <c r="W839" s="52"/>
      <c r="X839" s="52"/>
      <c r="Y839" s="52"/>
      <c r="Z839" s="52"/>
    </row>
    <row r="840">
      <c r="A840" s="11"/>
      <c r="B840" s="89"/>
      <c r="C840" s="11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69"/>
      <c r="Q840" s="4"/>
      <c r="R840" s="52"/>
      <c r="S840" s="52"/>
      <c r="T840" s="52"/>
      <c r="U840" s="52"/>
      <c r="V840" s="52"/>
      <c r="W840" s="52"/>
      <c r="X840" s="52"/>
      <c r="Y840" s="52"/>
      <c r="Z840" s="52"/>
    </row>
    <row r="841">
      <c r="A841" s="11"/>
      <c r="B841" s="89"/>
      <c r="C841" s="11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69"/>
      <c r="Q841" s="4"/>
      <c r="R841" s="52"/>
      <c r="S841" s="52"/>
      <c r="T841" s="52"/>
      <c r="U841" s="52"/>
      <c r="V841" s="52"/>
      <c r="W841" s="52"/>
      <c r="X841" s="52"/>
      <c r="Y841" s="52"/>
      <c r="Z841" s="52"/>
    </row>
    <row r="842">
      <c r="A842" s="11"/>
      <c r="B842" s="89"/>
      <c r="C842" s="11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69"/>
      <c r="Q842" s="4"/>
      <c r="R842" s="52"/>
      <c r="S842" s="52"/>
      <c r="T842" s="52"/>
      <c r="U842" s="52"/>
      <c r="V842" s="52"/>
      <c r="W842" s="52"/>
      <c r="X842" s="52"/>
      <c r="Y842" s="52"/>
      <c r="Z842" s="52"/>
    </row>
    <row r="843">
      <c r="A843" s="11"/>
      <c r="B843" s="89"/>
      <c r="C843" s="11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69"/>
      <c r="Q843" s="4"/>
      <c r="R843" s="52"/>
      <c r="S843" s="52"/>
      <c r="T843" s="52"/>
      <c r="U843" s="52"/>
      <c r="V843" s="52"/>
      <c r="W843" s="52"/>
      <c r="X843" s="52"/>
      <c r="Y843" s="52"/>
      <c r="Z843" s="52"/>
    </row>
    <row r="844">
      <c r="A844" s="11"/>
      <c r="B844" s="89"/>
      <c r="C844" s="11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69"/>
      <c r="Q844" s="4"/>
      <c r="R844" s="52"/>
      <c r="S844" s="52"/>
      <c r="T844" s="52"/>
      <c r="U844" s="52"/>
      <c r="V844" s="52"/>
      <c r="W844" s="52"/>
      <c r="X844" s="52"/>
      <c r="Y844" s="52"/>
      <c r="Z844" s="52"/>
    </row>
    <row r="845">
      <c r="A845" s="11"/>
      <c r="B845" s="89"/>
      <c r="C845" s="11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69"/>
      <c r="Q845" s="4"/>
      <c r="R845" s="52"/>
      <c r="S845" s="52"/>
      <c r="T845" s="52"/>
      <c r="U845" s="52"/>
      <c r="V845" s="52"/>
      <c r="W845" s="52"/>
      <c r="X845" s="52"/>
      <c r="Y845" s="52"/>
      <c r="Z845" s="52"/>
    </row>
    <row r="846">
      <c r="A846" s="11"/>
      <c r="B846" s="89"/>
      <c r="C846" s="11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69"/>
      <c r="Q846" s="4"/>
      <c r="R846" s="52"/>
      <c r="S846" s="52"/>
      <c r="T846" s="52"/>
      <c r="U846" s="52"/>
      <c r="V846" s="52"/>
      <c r="W846" s="52"/>
      <c r="X846" s="52"/>
      <c r="Y846" s="52"/>
      <c r="Z846" s="52"/>
    </row>
    <row r="847">
      <c r="A847" s="11"/>
      <c r="B847" s="89"/>
      <c r="C847" s="11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69"/>
      <c r="Q847" s="4"/>
      <c r="R847" s="52"/>
      <c r="S847" s="52"/>
      <c r="T847" s="52"/>
      <c r="U847" s="52"/>
      <c r="V847" s="52"/>
      <c r="W847" s="52"/>
      <c r="X847" s="52"/>
      <c r="Y847" s="52"/>
      <c r="Z847" s="52"/>
    </row>
    <row r="848">
      <c r="A848" s="11"/>
      <c r="B848" s="89"/>
      <c r="C848" s="11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69"/>
      <c r="Q848" s="4"/>
      <c r="R848" s="52"/>
      <c r="S848" s="52"/>
      <c r="T848" s="52"/>
      <c r="U848" s="52"/>
      <c r="V848" s="52"/>
      <c r="W848" s="52"/>
      <c r="X848" s="52"/>
      <c r="Y848" s="52"/>
      <c r="Z848" s="52"/>
    </row>
    <row r="849">
      <c r="A849" s="11"/>
      <c r="B849" s="89"/>
      <c r="C849" s="11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69"/>
      <c r="Q849" s="4"/>
      <c r="R849" s="52"/>
      <c r="S849" s="52"/>
      <c r="T849" s="52"/>
      <c r="U849" s="52"/>
      <c r="V849" s="52"/>
      <c r="W849" s="52"/>
      <c r="X849" s="52"/>
      <c r="Y849" s="52"/>
      <c r="Z849" s="52"/>
    </row>
    <row r="850">
      <c r="A850" s="11"/>
      <c r="B850" s="89"/>
      <c r="C850" s="11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69"/>
      <c r="Q850" s="4"/>
      <c r="R850" s="52"/>
      <c r="S850" s="52"/>
      <c r="T850" s="52"/>
      <c r="U850" s="52"/>
      <c r="V850" s="52"/>
      <c r="W850" s="52"/>
      <c r="X850" s="52"/>
      <c r="Y850" s="52"/>
      <c r="Z850" s="52"/>
    </row>
    <row r="851">
      <c r="A851" s="11"/>
      <c r="B851" s="89"/>
      <c r="C851" s="11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69"/>
      <c r="Q851" s="4"/>
      <c r="R851" s="52"/>
      <c r="S851" s="52"/>
      <c r="T851" s="52"/>
      <c r="U851" s="52"/>
      <c r="V851" s="52"/>
      <c r="W851" s="52"/>
      <c r="X851" s="52"/>
      <c r="Y851" s="52"/>
      <c r="Z851" s="52"/>
    </row>
    <row r="852">
      <c r="A852" s="11"/>
      <c r="B852" s="89"/>
      <c r="C852" s="11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69"/>
      <c r="Q852" s="4"/>
      <c r="R852" s="52"/>
      <c r="S852" s="52"/>
      <c r="T852" s="52"/>
      <c r="U852" s="52"/>
      <c r="V852" s="52"/>
      <c r="W852" s="52"/>
      <c r="X852" s="52"/>
      <c r="Y852" s="52"/>
      <c r="Z852" s="52"/>
    </row>
    <row r="853">
      <c r="A853" s="11"/>
      <c r="B853" s="89"/>
      <c r="C853" s="11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69"/>
      <c r="Q853" s="4"/>
      <c r="R853" s="52"/>
      <c r="S853" s="52"/>
      <c r="T853" s="52"/>
      <c r="U853" s="52"/>
      <c r="V853" s="52"/>
      <c r="W853" s="52"/>
      <c r="X853" s="52"/>
      <c r="Y853" s="52"/>
      <c r="Z853" s="52"/>
    </row>
    <row r="854">
      <c r="A854" s="11"/>
      <c r="B854" s="89"/>
      <c r="C854" s="11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69"/>
      <c r="Q854" s="4"/>
      <c r="R854" s="52"/>
      <c r="S854" s="52"/>
      <c r="T854" s="52"/>
      <c r="U854" s="52"/>
      <c r="V854" s="52"/>
      <c r="W854" s="52"/>
      <c r="X854" s="52"/>
      <c r="Y854" s="52"/>
      <c r="Z854" s="52"/>
    </row>
    <row r="855">
      <c r="A855" s="11"/>
      <c r="B855" s="89"/>
      <c r="C855" s="11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69"/>
      <c r="Q855" s="4"/>
      <c r="R855" s="52"/>
      <c r="S855" s="52"/>
      <c r="T855" s="52"/>
      <c r="U855" s="52"/>
      <c r="V855" s="52"/>
      <c r="W855" s="52"/>
      <c r="X855" s="52"/>
      <c r="Y855" s="52"/>
      <c r="Z855" s="52"/>
    </row>
    <row r="856">
      <c r="A856" s="11"/>
      <c r="B856" s="89"/>
      <c r="C856" s="11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69"/>
      <c r="Q856" s="4"/>
      <c r="R856" s="52"/>
      <c r="S856" s="52"/>
      <c r="T856" s="52"/>
      <c r="U856" s="52"/>
      <c r="V856" s="52"/>
      <c r="W856" s="52"/>
      <c r="X856" s="52"/>
      <c r="Y856" s="52"/>
      <c r="Z856" s="52"/>
    </row>
    <row r="857">
      <c r="A857" s="11"/>
      <c r="B857" s="89"/>
      <c r="C857" s="11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69"/>
      <c r="Q857" s="4"/>
      <c r="R857" s="52"/>
      <c r="S857" s="52"/>
      <c r="T857" s="52"/>
      <c r="U857" s="52"/>
      <c r="V857" s="52"/>
      <c r="W857" s="52"/>
      <c r="X857" s="52"/>
      <c r="Y857" s="52"/>
      <c r="Z857" s="52"/>
    </row>
    <row r="858">
      <c r="A858" s="11"/>
      <c r="B858" s="89"/>
      <c r="C858" s="11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69"/>
      <c r="Q858" s="4"/>
      <c r="R858" s="52"/>
      <c r="S858" s="52"/>
      <c r="T858" s="52"/>
      <c r="U858" s="52"/>
      <c r="V858" s="52"/>
      <c r="W858" s="52"/>
      <c r="X858" s="52"/>
      <c r="Y858" s="52"/>
      <c r="Z858" s="52"/>
    </row>
    <row r="859">
      <c r="A859" s="11"/>
      <c r="B859" s="89"/>
      <c r="C859" s="11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69"/>
      <c r="Q859" s="4"/>
      <c r="R859" s="52"/>
      <c r="S859" s="52"/>
      <c r="T859" s="52"/>
      <c r="U859" s="52"/>
      <c r="V859" s="52"/>
      <c r="W859" s="52"/>
      <c r="X859" s="52"/>
      <c r="Y859" s="52"/>
      <c r="Z859" s="52"/>
    </row>
    <row r="860">
      <c r="A860" s="11"/>
      <c r="B860" s="89"/>
      <c r="C860" s="11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69"/>
      <c r="Q860" s="4"/>
      <c r="R860" s="52"/>
      <c r="S860" s="52"/>
      <c r="T860" s="52"/>
      <c r="U860" s="52"/>
      <c r="V860" s="52"/>
      <c r="W860" s="52"/>
      <c r="X860" s="52"/>
      <c r="Y860" s="52"/>
      <c r="Z860" s="52"/>
    </row>
    <row r="861">
      <c r="A861" s="11"/>
      <c r="B861" s="89"/>
      <c r="C861" s="11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69"/>
      <c r="Q861" s="4"/>
      <c r="R861" s="52"/>
      <c r="S861" s="52"/>
      <c r="T861" s="52"/>
      <c r="U861" s="52"/>
      <c r="V861" s="52"/>
      <c r="W861" s="52"/>
      <c r="X861" s="52"/>
      <c r="Y861" s="52"/>
      <c r="Z861" s="52"/>
    </row>
    <row r="862">
      <c r="A862" s="11"/>
      <c r="B862" s="89"/>
      <c r="C862" s="11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69"/>
      <c r="Q862" s="4"/>
      <c r="R862" s="52"/>
      <c r="S862" s="52"/>
      <c r="T862" s="52"/>
      <c r="U862" s="52"/>
      <c r="V862" s="52"/>
      <c r="W862" s="52"/>
      <c r="X862" s="52"/>
      <c r="Y862" s="52"/>
      <c r="Z862" s="52"/>
    </row>
    <row r="863">
      <c r="A863" s="11"/>
      <c r="B863" s="89"/>
      <c r="C863" s="11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69"/>
      <c r="Q863" s="4"/>
      <c r="R863" s="52"/>
      <c r="S863" s="52"/>
      <c r="T863" s="52"/>
      <c r="U863" s="52"/>
      <c r="V863" s="52"/>
      <c r="W863" s="52"/>
      <c r="X863" s="52"/>
      <c r="Y863" s="52"/>
      <c r="Z863" s="52"/>
    </row>
    <row r="864">
      <c r="A864" s="11"/>
      <c r="B864" s="89"/>
      <c r="C864" s="11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69"/>
      <c r="Q864" s="4"/>
      <c r="R864" s="52"/>
      <c r="S864" s="52"/>
      <c r="T864" s="52"/>
      <c r="U864" s="52"/>
      <c r="V864" s="52"/>
      <c r="W864" s="52"/>
      <c r="X864" s="52"/>
      <c r="Y864" s="52"/>
      <c r="Z864" s="52"/>
    </row>
    <row r="865">
      <c r="A865" s="11"/>
      <c r="B865" s="89"/>
      <c r="C865" s="11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69"/>
      <c r="Q865" s="4"/>
      <c r="R865" s="52"/>
      <c r="S865" s="52"/>
      <c r="T865" s="52"/>
      <c r="U865" s="52"/>
      <c r="V865" s="52"/>
      <c r="W865" s="52"/>
      <c r="X865" s="52"/>
      <c r="Y865" s="52"/>
      <c r="Z865" s="52"/>
    </row>
    <row r="866">
      <c r="A866" s="11"/>
      <c r="B866" s="89"/>
      <c r="C866" s="11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69"/>
      <c r="Q866" s="4"/>
      <c r="R866" s="52"/>
      <c r="S866" s="52"/>
      <c r="T866" s="52"/>
      <c r="U866" s="52"/>
      <c r="V866" s="52"/>
      <c r="W866" s="52"/>
      <c r="X866" s="52"/>
      <c r="Y866" s="52"/>
      <c r="Z866" s="52"/>
    </row>
    <row r="867">
      <c r="A867" s="11"/>
      <c r="B867" s="89"/>
      <c r="C867" s="11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69"/>
      <c r="Q867" s="4"/>
      <c r="R867" s="52"/>
      <c r="S867" s="52"/>
      <c r="T867" s="52"/>
      <c r="U867" s="52"/>
      <c r="V867" s="52"/>
      <c r="W867" s="52"/>
      <c r="X867" s="52"/>
      <c r="Y867" s="52"/>
      <c r="Z867" s="52"/>
    </row>
    <row r="868">
      <c r="A868" s="11"/>
      <c r="B868" s="89"/>
      <c r="C868" s="11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69"/>
      <c r="Q868" s="4"/>
      <c r="R868" s="52"/>
      <c r="S868" s="52"/>
      <c r="T868" s="52"/>
      <c r="U868" s="52"/>
      <c r="V868" s="52"/>
      <c r="W868" s="52"/>
      <c r="X868" s="52"/>
      <c r="Y868" s="52"/>
      <c r="Z868" s="52"/>
    </row>
    <row r="869">
      <c r="A869" s="11"/>
      <c r="B869" s="89"/>
      <c r="C869" s="11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69"/>
      <c r="Q869" s="4"/>
      <c r="R869" s="52"/>
      <c r="S869" s="52"/>
      <c r="T869" s="52"/>
      <c r="U869" s="52"/>
      <c r="V869" s="52"/>
      <c r="W869" s="52"/>
      <c r="X869" s="52"/>
      <c r="Y869" s="52"/>
      <c r="Z869" s="52"/>
    </row>
    <row r="870">
      <c r="A870" s="11"/>
      <c r="B870" s="89"/>
      <c r="C870" s="11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69"/>
      <c r="Q870" s="4"/>
      <c r="R870" s="52"/>
      <c r="S870" s="52"/>
      <c r="T870" s="52"/>
      <c r="U870" s="52"/>
      <c r="V870" s="52"/>
      <c r="W870" s="52"/>
      <c r="X870" s="52"/>
      <c r="Y870" s="52"/>
      <c r="Z870" s="52"/>
    </row>
    <row r="871">
      <c r="A871" s="11"/>
      <c r="B871" s="89"/>
      <c r="C871" s="11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69"/>
      <c r="Q871" s="4"/>
      <c r="R871" s="52"/>
      <c r="S871" s="52"/>
      <c r="T871" s="52"/>
      <c r="U871" s="52"/>
      <c r="V871" s="52"/>
      <c r="W871" s="52"/>
      <c r="X871" s="52"/>
      <c r="Y871" s="52"/>
      <c r="Z871" s="52"/>
    </row>
    <row r="872">
      <c r="A872" s="11"/>
      <c r="B872" s="89"/>
      <c r="C872" s="11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69"/>
      <c r="Q872" s="4"/>
      <c r="R872" s="52"/>
      <c r="S872" s="52"/>
      <c r="T872" s="52"/>
      <c r="U872" s="52"/>
      <c r="V872" s="52"/>
      <c r="W872" s="52"/>
      <c r="X872" s="52"/>
      <c r="Y872" s="52"/>
      <c r="Z872" s="52"/>
    </row>
    <row r="873">
      <c r="A873" s="11"/>
      <c r="B873" s="89"/>
      <c r="C873" s="11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69"/>
      <c r="Q873" s="4"/>
      <c r="R873" s="52"/>
      <c r="S873" s="52"/>
      <c r="T873" s="52"/>
      <c r="U873" s="52"/>
      <c r="V873" s="52"/>
      <c r="W873" s="52"/>
      <c r="X873" s="52"/>
      <c r="Y873" s="52"/>
      <c r="Z873" s="52"/>
    </row>
    <row r="874">
      <c r="A874" s="11"/>
      <c r="B874" s="89"/>
      <c r="C874" s="11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69"/>
      <c r="Q874" s="4"/>
      <c r="R874" s="52"/>
      <c r="S874" s="52"/>
      <c r="T874" s="52"/>
      <c r="U874" s="52"/>
      <c r="V874" s="52"/>
      <c r="W874" s="52"/>
      <c r="X874" s="52"/>
      <c r="Y874" s="52"/>
      <c r="Z874" s="52"/>
    </row>
    <row r="875">
      <c r="A875" s="11"/>
      <c r="B875" s="89"/>
      <c r="C875" s="11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69"/>
      <c r="Q875" s="4"/>
      <c r="R875" s="52"/>
      <c r="S875" s="52"/>
      <c r="T875" s="52"/>
      <c r="U875" s="52"/>
      <c r="V875" s="52"/>
      <c r="W875" s="52"/>
      <c r="X875" s="52"/>
      <c r="Y875" s="52"/>
      <c r="Z875" s="52"/>
    </row>
    <row r="876">
      <c r="A876" s="11"/>
      <c r="B876" s="89"/>
      <c r="C876" s="11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69"/>
      <c r="Q876" s="4"/>
      <c r="R876" s="52"/>
      <c r="S876" s="52"/>
      <c r="T876" s="52"/>
      <c r="U876" s="52"/>
      <c r="V876" s="52"/>
      <c r="W876" s="52"/>
      <c r="X876" s="52"/>
      <c r="Y876" s="52"/>
      <c r="Z876" s="52"/>
    </row>
    <row r="877">
      <c r="A877" s="11"/>
      <c r="B877" s="89"/>
      <c r="C877" s="11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69"/>
      <c r="Q877" s="4"/>
      <c r="R877" s="52"/>
      <c r="S877" s="52"/>
      <c r="T877" s="52"/>
      <c r="U877" s="52"/>
      <c r="V877" s="52"/>
      <c r="W877" s="52"/>
      <c r="X877" s="52"/>
      <c r="Y877" s="52"/>
      <c r="Z877" s="52"/>
    </row>
    <row r="878">
      <c r="A878" s="11"/>
      <c r="B878" s="89"/>
      <c r="C878" s="11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69"/>
      <c r="Q878" s="4"/>
      <c r="R878" s="52"/>
      <c r="S878" s="52"/>
      <c r="T878" s="52"/>
      <c r="U878" s="52"/>
      <c r="V878" s="52"/>
      <c r="W878" s="52"/>
      <c r="X878" s="52"/>
      <c r="Y878" s="52"/>
      <c r="Z878" s="52"/>
    </row>
    <row r="879">
      <c r="A879" s="11"/>
      <c r="B879" s="89"/>
      <c r="C879" s="11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69"/>
      <c r="Q879" s="4"/>
      <c r="R879" s="52"/>
      <c r="S879" s="52"/>
      <c r="T879" s="52"/>
      <c r="U879" s="52"/>
      <c r="V879" s="52"/>
      <c r="W879" s="52"/>
      <c r="X879" s="52"/>
      <c r="Y879" s="52"/>
      <c r="Z879" s="52"/>
    </row>
    <row r="880">
      <c r="A880" s="11"/>
      <c r="B880" s="89"/>
      <c r="C880" s="11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69"/>
      <c r="Q880" s="4"/>
      <c r="R880" s="52"/>
      <c r="S880" s="52"/>
      <c r="T880" s="52"/>
      <c r="U880" s="52"/>
      <c r="V880" s="52"/>
      <c r="W880" s="52"/>
      <c r="X880" s="52"/>
      <c r="Y880" s="52"/>
      <c r="Z880" s="52"/>
    </row>
    <row r="881">
      <c r="A881" s="11"/>
      <c r="B881" s="89"/>
      <c r="C881" s="11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69"/>
      <c r="Q881" s="4"/>
      <c r="R881" s="52"/>
      <c r="S881" s="52"/>
      <c r="T881" s="52"/>
      <c r="U881" s="52"/>
      <c r="V881" s="52"/>
      <c r="W881" s="52"/>
      <c r="X881" s="52"/>
      <c r="Y881" s="52"/>
      <c r="Z881" s="52"/>
    </row>
    <row r="882">
      <c r="A882" s="11"/>
      <c r="B882" s="89"/>
      <c r="C882" s="11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69"/>
      <c r="Q882" s="4"/>
      <c r="R882" s="52"/>
      <c r="S882" s="52"/>
      <c r="T882" s="52"/>
      <c r="U882" s="52"/>
      <c r="V882" s="52"/>
      <c r="W882" s="52"/>
      <c r="X882" s="52"/>
      <c r="Y882" s="52"/>
      <c r="Z882" s="52"/>
    </row>
    <row r="883">
      <c r="A883" s="11"/>
      <c r="B883" s="89"/>
      <c r="C883" s="11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69"/>
      <c r="Q883" s="4"/>
      <c r="R883" s="52"/>
      <c r="S883" s="52"/>
      <c r="T883" s="52"/>
      <c r="U883" s="52"/>
      <c r="V883" s="52"/>
      <c r="W883" s="52"/>
      <c r="X883" s="52"/>
      <c r="Y883" s="52"/>
      <c r="Z883" s="52"/>
    </row>
    <row r="884">
      <c r="A884" s="11"/>
      <c r="B884" s="89"/>
      <c r="C884" s="11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69"/>
      <c r="Q884" s="4"/>
      <c r="R884" s="52"/>
      <c r="S884" s="52"/>
      <c r="T884" s="52"/>
      <c r="U884" s="52"/>
      <c r="V884" s="52"/>
      <c r="W884" s="52"/>
      <c r="X884" s="52"/>
      <c r="Y884" s="52"/>
      <c r="Z884" s="52"/>
    </row>
    <row r="885">
      <c r="A885" s="11"/>
      <c r="B885" s="89"/>
      <c r="C885" s="11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69"/>
      <c r="Q885" s="4"/>
      <c r="R885" s="52"/>
      <c r="S885" s="52"/>
      <c r="T885" s="52"/>
      <c r="U885" s="52"/>
      <c r="V885" s="52"/>
      <c r="W885" s="52"/>
      <c r="X885" s="52"/>
      <c r="Y885" s="52"/>
      <c r="Z885" s="52"/>
    </row>
    <row r="886">
      <c r="A886" s="11"/>
      <c r="B886" s="89"/>
      <c r="C886" s="11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69"/>
      <c r="Q886" s="4"/>
      <c r="R886" s="52"/>
      <c r="S886" s="52"/>
      <c r="T886" s="52"/>
      <c r="U886" s="52"/>
      <c r="V886" s="52"/>
      <c r="W886" s="52"/>
      <c r="X886" s="52"/>
      <c r="Y886" s="52"/>
      <c r="Z886" s="52"/>
    </row>
    <row r="887">
      <c r="A887" s="11"/>
      <c r="B887" s="89"/>
      <c r="C887" s="11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69"/>
      <c r="Q887" s="4"/>
      <c r="R887" s="52"/>
      <c r="S887" s="52"/>
      <c r="T887" s="52"/>
      <c r="U887" s="52"/>
      <c r="V887" s="52"/>
      <c r="W887" s="52"/>
      <c r="X887" s="52"/>
      <c r="Y887" s="52"/>
      <c r="Z887" s="52"/>
    </row>
    <row r="888">
      <c r="A888" s="11"/>
      <c r="B888" s="89"/>
      <c r="C888" s="11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69"/>
      <c r="Q888" s="4"/>
      <c r="R888" s="52"/>
      <c r="S888" s="52"/>
      <c r="T888" s="52"/>
      <c r="U888" s="52"/>
      <c r="V888" s="52"/>
      <c r="W888" s="52"/>
      <c r="X888" s="52"/>
      <c r="Y888" s="52"/>
      <c r="Z888" s="52"/>
    </row>
    <row r="889">
      <c r="A889" s="11"/>
      <c r="B889" s="89"/>
      <c r="C889" s="11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69"/>
      <c r="Q889" s="4"/>
      <c r="R889" s="52"/>
      <c r="S889" s="52"/>
      <c r="T889" s="52"/>
      <c r="U889" s="52"/>
      <c r="V889" s="52"/>
      <c r="W889" s="52"/>
      <c r="X889" s="52"/>
      <c r="Y889" s="52"/>
      <c r="Z889" s="52"/>
    </row>
    <row r="890">
      <c r="A890" s="11"/>
      <c r="B890" s="89"/>
      <c r="C890" s="11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69"/>
      <c r="Q890" s="4"/>
      <c r="R890" s="52"/>
      <c r="S890" s="52"/>
      <c r="T890" s="52"/>
      <c r="U890" s="52"/>
      <c r="V890" s="52"/>
      <c r="W890" s="52"/>
      <c r="X890" s="52"/>
      <c r="Y890" s="52"/>
      <c r="Z890" s="52"/>
    </row>
    <row r="891">
      <c r="A891" s="11"/>
      <c r="B891" s="89"/>
      <c r="C891" s="11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69"/>
      <c r="Q891" s="4"/>
      <c r="R891" s="52"/>
      <c r="S891" s="52"/>
      <c r="T891" s="52"/>
      <c r="U891" s="52"/>
      <c r="V891" s="52"/>
      <c r="W891" s="52"/>
      <c r="X891" s="52"/>
      <c r="Y891" s="52"/>
      <c r="Z891" s="52"/>
    </row>
    <row r="892">
      <c r="A892" s="11"/>
      <c r="B892" s="89"/>
      <c r="C892" s="11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69"/>
      <c r="Q892" s="4"/>
      <c r="R892" s="52"/>
      <c r="S892" s="52"/>
      <c r="T892" s="52"/>
      <c r="U892" s="52"/>
      <c r="V892" s="52"/>
      <c r="W892" s="52"/>
      <c r="X892" s="52"/>
      <c r="Y892" s="52"/>
      <c r="Z892" s="52"/>
    </row>
    <row r="893">
      <c r="A893" s="11"/>
      <c r="B893" s="89"/>
      <c r="C893" s="11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69"/>
      <c r="Q893" s="4"/>
      <c r="R893" s="52"/>
      <c r="S893" s="52"/>
      <c r="T893" s="52"/>
      <c r="U893" s="52"/>
      <c r="V893" s="52"/>
      <c r="W893" s="52"/>
      <c r="X893" s="52"/>
      <c r="Y893" s="52"/>
      <c r="Z893" s="52"/>
    </row>
    <row r="894">
      <c r="A894" s="11"/>
      <c r="B894" s="89"/>
      <c r="C894" s="11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69"/>
      <c r="Q894" s="4"/>
      <c r="R894" s="52"/>
      <c r="S894" s="52"/>
      <c r="T894" s="52"/>
      <c r="U894" s="52"/>
      <c r="V894" s="52"/>
      <c r="W894" s="52"/>
      <c r="X894" s="52"/>
      <c r="Y894" s="52"/>
      <c r="Z894" s="52"/>
    </row>
    <row r="895">
      <c r="A895" s="11"/>
      <c r="B895" s="89"/>
      <c r="C895" s="11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69"/>
      <c r="Q895" s="4"/>
      <c r="R895" s="52"/>
      <c r="S895" s="52"/>
      <c r="T895" s="52"/>
      <c r="U895" s="52"/>
      <c r="V895" s="52"/>
      <c r="W895" s="52"/>
      <c r="X895" s="52"/>
      <c r="Y895" s="52"/>
      <c r="Z895" s="52"/>
    </row>
    <row r="896">
      <c r="A896" s="11"/>
      <c r="B896" s="89"/>
      <c r="C896" s="11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69"/>
      <c r="Q896" s="4"/>
      <c r="R896" s="52"/>
      <c r="S896" s="52"/>
      <c r="T896" s="52"/>
      <c r="U896" s="52"/>
      <c r="V896" s="52"/>
      <c r="W896" s="52"/>
      <c r="X896" s="52"/>
      <c r="Y896" s="52"/>
      <c r="Z896" s="52"/>
    </row>
    <row r="897">
      <c r="A897" s="11"/>
      <c r="B897" s="89"/>
      <c r="C897" s="11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69"/>
      <c r="Q897" s="4"/>
      <c r="R897" s="52"/>
      <c r="S897" s="52"/>
      <c r="T897" s="52"/>
      <c r="U897" s="52"/>
      <c r="V897" s="52"/>
      <c r="W897" s="52"/>
      <c r="X897" s="52"/>
      <c r="Y897" s="52"/>
      <c r="Z897" s="52"/>
    </row>
    <row r="898">
      <c r="A898" s="11"/>
      <c r="B898" s="89"/>
      <c r="C898" s="11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69"/>
      <c r="Q898" s="4"/>
      <c r="R898" s="52"/>
      <c r="S898" s="52"/>
      <c r="T898" s="52"/>
      <c r="U898" s="52"/>
      <c r="V898" s="52"/>
      <c r="W898" s="52"/>
      <c r="X898" s="52"/>
      <c r="Y898" s="52"/>
      <c r="Z898" s="52"/>
    </row>
    <row r="899">
      <c r="A899" s="11"/>
      <c r="B899" s="89"/>
      <c r="C899" s="11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69"/>
      <c r="Q899" s="4"/>
      <c r="R899" s="52"/>
      <c r="S899" s="52"/>
      <c r="T899" s="52"/>
      <c r="U899" s="52"/>
      <c r="V899" s="52"/>
      <c r="W899" s="52"/>
      <c r="X899" s="52"/>
      <c r="Y899" s="52"/>
      <c r="Z899" s="52"/>
    </row>
    <row r="900">
      <c r="A900" s="11"/>
      <c r="B900" s="89"/>
      <c r="C900" s="11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69"/>
      <c r="Q900" s="4"/>
      <c r="R900" s="52"/>
      <c r="S900" s="52"/>
      <c r="T900" s="52"/>
      <c r="U900" s="52"/>
      <c r="V900" s="52"/>
      <c r="W900" s="52"/>
      <c r="X900" s="52"/>
      <c r="Y900" s="52"/>
      <c r="Z900" s="52"/>
    </row>
    <row r="901">
      <c r="A901" s="11"/>
      <c r="B901" s="89"/>
      <c r="C901" s="11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69"/>
      <c r="Q901" s="4"/>
      <c r="R901" s="52"/>
      <c r="S901" s="52"/>
      <c r="T901" s="52"/>
      <c r="U901" s="52"/>
      <c r="V901" s="52"/>
      <c r="W901" s="52"/>
      <c r="X901" s="52"/>
      <c r="Y901" s="52"/>
      <c r="Z901" s="52"/>
    </row>
    <row r="902">
      <c r="A902" s="11"/>
      <c r="B902" s="89"/>
      <c r="C902" s="11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69"/>
      <c r="Q902" s="4"/>
      <c r="R902" s="52"/>
      <c r="S902" s="52"/>
      <c r="T902" s="52"/>
      <c r="U902" s="52"/>
      <c r="V902" s="52"/>
      <c r="W902" s="52"/>
      <c r="X902" s="52"/>
      <c r="Y902" s="52"/>
      <c r="Z902" s="52"/>
    </row>
    <row r="903">
      <c r="A903" s="11"/>
      <c r="B903" s="89"/>
      <c r="C903" s="11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69"/>
      <c r="Q903" s="4"/>
      <c r="R903" s="52"/>
      <c r="S903" s="52"/>
      <c r="T903" s="52"/>
      <c r="U903" s="52"/>
      <c r="V903" s="52"/>
      <c r="W903" s="52"/>
      <c r="X903" s="52"/>
      <c r="Y903" s="52"/>
      <c r="Z903" s="52"/>
    </row>
    <row r="904">
      <c r="A904" s="11"/>
      <c r="B904" s="89"/>
      <c r="C904" s="11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69"/>
      <c r="Q904" s="4"/>
      <c r="R904" s="52"/>
      <c r="S904" s="52"/>
      <c r="T904" s="52"/>
      <c r="U904" s="52"/>
      <c r="V904" s="52"/>
      <c r="W904" s="52"/>
      <c r="X904" s="52"/>
      <c r="Y904" s="52"/>
      <c r="Z904" s="52"/>
    </row>
    <row r="905">
      <c r="A905" s="11"/>
      <c r="B905" s="89"/>
      <c r="C905" s="11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69"/>
      <c r="Q905" s="4"/>
      <c r="R905" s="52"/>
      <c r="S905" s="52"/>
      <c r="T905" s="52"/>
      <c r="U905" s="52"/>
      <c r="V905" s="52"/>
      <c r="W905" s="52"/>
      <c r="X905" s="52"/>
      <c r="Y905" s="52"/>
      <c r="Z905" s="52"/>
    </row>
    <row r="906">
      <c r="A906" s="11"/>
      <c r="B906" s="89"/>
      <c r="C906" s="11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69"/>
      <c r="Q906" s="4"/>
      <c r="R906" s="52"/>
      <c r="S906" s="52"/>
      <c r="T906" s="52"/>
      <c r="U906" s="52"/>
      <c r="V906" s="52"/>
      <c r="W906" s="52"/>
      <c r="X906" s="52"/>
      <c r="Y906" s="52"/>
      <c r="Z906" s="52"/>
    </row>
    <row r="907">
      <c r="A907" s="11"/>
      <c r="B907" s="89"/>
      <c r="C907" s="11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69"/>
      <c r="Q907" s="4"/>
      <c r="R907" s="52"/>
      <c r="S907" s="52"/>
      <c r="T907" s="52"/>
      <c r="U907" s="52"/>
      <c r="V907" s="52"/>
      <c r="W907" s="52"/>
      <c r="X907" s="52"/>
      <c r="Y907" s="52"/>
      <c r="Z907" s="52"/>
    </row>
    <row r="908">
      <c r="A908" s="11"/>
      <c r="B908" s="89"/>
      <c r="C908" s="11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69"/>
      <c r="Q908" s="4"/>
      <c r="R908" s="52"/>
      <c r="S908" s="52"/>
      <c r="T908" s="52"/>
      <c r="U908" s="52"/>
      <c r="V908" s="52"/>
      <c r="W908" s="52"/>
      <c r="X908" s="52"/>
      <c r="Y908" s="52"/>
      <c r="Z908" s="52"/>
    </row>
    <row r="909">
      <c r="A909" s="11"/>
      <c r="B909" s="89"/>
      <c r="C909" s="11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69"/>
      <c r="Q909" s="4"/>
      <c r="R909" s="52"/>
      <c r="S909" s="52"/>
      <c r="T909" s="52"/>
      <c r="U909" s="52"/>
      <c r="V909" s="52"/>
      <c r="W909" s="52"/>
      <c r="X909" s="52"/>
      <c r="Y909" s="52"/>
      <c r="Z909" s="52"/>
    </row>
    <row r="910">
      <c r="A910" s="11"/>
      <c r="B910" s="89"/>
      <c r="C910" s="11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69"/>
      <c r="Q910" s="4"/>
      <c r="R910" s="52"/>
      <c r="S910" s="52"/>
      <c r="T910" s="52"/>
      <c r="U910" s="52"/>
      <c r="V910" s="52"/>
      <c r="W910" s="52"/>
      <c r="X910" s="52"/>
      <c r="Y910" s="52"/>
      <c r="Z910" s="52"/>
    </row>
    <row r="911">
      <c r="A911" s="11"/>
      <c r="B911" s="89"/>
      <c r="C911" s="11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69"/>
      <c r="Q911" s="4"/>
      <c r="R911" s="52"/>
      <c r="S911" s="52"/>
      <c r="T911" s="52"/>
      <c r="U911" s="52"/>
      <c r="V911" s="52"/>
      <c r="W911" s="52"/>
      <c r="X911" s="52"/>
      <c r="Y911" s="52"/>
      <c r="Z911" s="52"/>
    </row>
    <row r="912">
      <c r="A912" s="11"/>
      <c r="B912" s="89"/>
      <c r="C912" s="11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69"/>
      <c r="Q912" s="4"/>
      <c r="R912" s="52"/>
      <c r="S912" s="52"/>
      <c r="T912" s="52"/>
      <c r="U912" s="52"/>
      <c r="V912" s="52"/>
      <c r="W912" s="52"/>
      <c r="X912" s="52"/>
      <c r="Y912" s="52"/>
      <c r="Z912" s="52"/>
    </row>
    <row r="913">
      <c r="A913" s="11"/>
      <c r="B913" s="89"/>
      <c r="C913" s="11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69"/>
      <c r="Q913" s="4"/>
      <c r="R913" s="52"/>
      <c r="S913" s="52"/>
      <c r="T913" s="52"/>
      <c r="U913" s="52"/>
      <c r="V913" s="52"/>
      <c r="W913" s="52"/>
      <c r="X913" s="52"/>
      <c r="Y913" s="52"/>
      <c r="Z913" s="52"/>
    </row>
    <row r="914">
      <c r="A914" s="11"/>
      <c r="B914" s="89"/>
      <c r="C914" s="11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69"/>
      <c r="Q914" s="4"/>
      <c r="R914" s="52"/>
      <c r="S914" s="52"/>
      <c r="T914" s="52"/>
      <c r="U914" s="52"/>
      <c r="V914" s="52"/>
      <c r="W914" s="52"/>
      <c r="X914" s="52"/>
      <c r="Y914" s="52"/>
      <c r="Z914" s="52"/>
    </row>
    <row r="915">
      <c r="A915" s="11"/>
      <c r="B915" s="89"/>
      <c r="C915" s="11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69"/>
      <c r="Q915" s="4"/>
      <c r="R915" s="52"/>
      <c r="S915" s="52"/>
      <c r="T915" s="52"/>
      <c r="U915" s="52"/>
      <c r="V915" s="52"/>
      <c r="W915" s="52"/>
      <c r="X915" s="52"/>
      <c r="Y915" s="52"/>
      <c r="Z915" s="52"/>
    </row>
    <row r="916">
      <c r="A916" s="11"/>
      <c r="B916" s="89"/>
      <c r="C916" s="11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69"/>
      <c r="Q916" s="4"/>
      <c r="R916" s="52"/>
      <c r="S916" s="52"/>
      <c r="T916" s="52"/>
      <c r="U916" s="52"/>
      <c r="V916" s="52"/>
      <c r="W916" s="52"/>
      <c r="X916" s="52"/>
      <c r="Y916" s="52"/>
      <c r="Z916" s="52"/>
    </row>
    <row r="917">
      <c r="A917" s="11"/>
      <c r="B917" s="89"/>
      <c r="C917" s="11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69"/>
      <c r="Q917" s="4"/>
      <c r="R917" s="52"/>
      <c r="S917" s="52"/>
      <c r="T917" s="52"/>
      <c r="U917" s="52"/>
      <c r="V917" s="52"/>
      <c r="W917" s="52"/>
      <c r="X917" s="52"/>
      <c r="Y917" s="52"/>
      <c r="Z917" s="52"/>
    </row>
    <row r="918">
      <c r="A918" s="11"/>
      <c r="B918" s="89"/>
      <c r="C918" s="11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69"/>
      <c r="Q918" s="4"/>
      <c r="R918" s="52"/>
      <c r="S918" s="52"/>
      <c r="T918" s="52"/>
      <c r="U918" s="52"/>
      <c r="V918" s="52"/>
      <c r="W918" s="52"/>
      <c r="X918" s="52"/>
      <c r="Y918" s="52"/>
      <c r="Z918" s="52"/>
    </row>
    <row r="919">
      <c r="A919" s="11"/>
      <c r="B919" s="89"/>
      <c r="C919" s="11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69"/>
      <c r="Q919" s="4"/>
      <c r="R919" s="52"/>
      <c r="S919" s="52"/>
      <c r="T919" s="52"/>
      <c r="U919" s="52"/>
      <c r="V919" s="52"/>
      <c r="W919" s="52"/>
      <c r="X919" s="52"/>
      <c r="Y919" s="52"/>
      <c r="Z919" s="52"/>
    </row>
    <row r="920">
      <c r="A920" s="11"/>
      <c r="B920" s="89"/>
      <c r="C920" s="11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69"/>
      <c r="Q920" s="4"/>
      <c r="R920" s="52"/>
      <c r="S920" s="52"/>
      <c r="T920" s="52"/>
      <c r="U920" s="52"/>
      <c r="V920" s="52"/>
      <c r="W920" s="52"/>
      <c r="X920" s="52"/>
      <c r="Y920" s="52"/>
      <c r="Z920" s="52"/>
    </row>
    <row r="921">
      <c r="A921" s="11"/>
      <c r="B921" s="89"/>
      <c r="C921" s="11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69"/>
      <c r="Q921" s="4"/>
      <c r="R921" s="52"/>
      <c r="S921" s="52"/>
      <c r="T921" s="52"/>
      <c r="U921" s="52"/>
      <c r="V921" s="52"/>
      <c r="W921" s="52"/>
      <c r="X921" s="52"/>
      <c r="Y921" s="52"/>
      <c r="Z921" s="52"/>
    </row>
    <row r="922">
      <c r="A922" s="11"/>
      <c r="B922" s="89"/>
      <c r="C922" s="11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69"/>
      <c r="Q922" s="4"/>
      <c r="R922" s="52"/>
      <c r="S922" s="52"/>
      <c r="T922" s="52"/>
      <c r="U922" s="52"/>
      <c r="V922" s="52"/>
      <c r="W922" s="52"/>
      <c r="X922" s="52"/>
      <c r="Y922" s="52"/>
      <c r="Z922" s="52"/>
    </row>
    <row r="923">
      <c r="A923" s="11"/>
      <c r="B923" s="89"/>
      <c r="C923" s="11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69"/>
      <c r="Q923" s="4"/>
      <c r="R923" s="52"/>
      <c r="S923" s="52"/>
      <c r="T923" s="52"/>
      <c r="U923" s="52"/>
      <c r="V923" s="52"/>
      <c r="W923" s="52"/>
      <c r="X923" s="52"/>
      <c r="Y923" s="52"/>
      <c r="Z923" s="52"/>
    </row>
    <row r="924">
      <c r="A924" s="11"/>
      <c r="B924" s="89"/>
      <c r="C924" s="11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69"/>
      <c r="Q924" s="4"/>
      <c r="R924" s="52"/>
      <c r="S924" s="52"/>
      <c r="T924" s="52"/>
      <c r="U924" s="52"/>
      <c r="V924" s="52"/>
      <c r="W924" s="52"/>
      <c r="X924" s="52"/>
      <c r="Y924" s="52"/>
      <c r="Z924" s="52"/>
    </row>
    <row r="925">
      <c r="A925" s="11"/>
      <c r="B925" s="89"/>
      <c r="C925" s="11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69"/>
      <c r="Q925" s="4"/>
      <c r="R925" s="52"/>
      <c r="S925" s="52"/>
      <c r="T925" s="52"/>
      <c r="U925" s="52"/>
      <c r="V925" s="52"/>
      <c r="W925" s="52"/>
      <c r="X925" s="52"/>
      <c r="Y925" s="52"/>
      <c r="Z925" s="52"/>
    </row>
    <row r="926">
      <c r="A926" s="11"/>
      <c r="B926" s="89"/>
      <c r="C926" s="11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69"/>
      <c r="Q926" s="4"/>
      <c r="R926" s="52"/>
      <c r="S926" s="52"/>
      <c r="T926" s="52"/>
      <c r="U926" s="52"/>
      <c r="V926" s="52"/>
      <c r="W926" s="52"/>
      <c r="X926" s="52"/>
      <c r="Y926" s="52"/>
      <c r="Z926" s="52"/>
    </row>
    <row r="927">
      <c r="A927" s="11"/>
      <c r="B927" s="89"/>
      <c r="C927" s="11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69"/>
      <c r="Q927" s="4"/>
      <c r="R927" s="52"/>
      <c r="S927" s="52"/>
      <c r="T927" s="52"/>
      <c r="U927" s="52"/>
      <c r="V927" s="52"/>
      <c r="W927" s="52"/>
      <c r="X927" s="52"/>
      <c r="Y927" s="52"/>
      <c r="Z927" s="52"/>
    </row>
    <row r="928">
      <c r="A928" s="11"/>
      <c r="B928" s="89"/>
      <c r="C928" s="11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69"/>
      <c r="Q928" s="4"/>
      <c r="R928" s="52"/>
      <c r="S928" s="52"/>
      <c r="T928" s="52"/>
      <c r="U928" s="52"/>
      <c r="V928" s="52"/>
      <c r="W928" s="52"/>
      <c r="X928" s="52"/>
      <c r="Y928" s="52"/>
      <c r="Z928" s="52"/>
    </row>
    <row r="929">
      <c r="A929" s="11"/>
      <c r="B929" s="89"/>
      <c r="C929" s="11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69"/>
      <c r="Q929" s="4"/>
      <c r="R929" s="52"/>
      <c r="S929" s="52"/>
      <c r="T929" s="52"/>
      <c r="U929" s="52"/>
      <c r="V929" s="52"/>
      <c r="W929" s="52"/>
      <c r="X929" s="52"/>
      <c r="Y929" s="52"/>
      <c r="Z929" s="52"/>
    </row>
    <row r="930">
      <c r="A930" s="11"/>
      <c r="B930" s="89"/>
      <c r="C930" s="11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69"/>
      <c r="Q930" s="4"/>
      <c r="R930" s="52"/>
      <c r="S930" s="52"/>
      <c r="T930" s="52"/>
      <c r="U930" s="52"/>
      <c r="V930" s="52"/>
      <c r="W930" s="52"/>
      <c r="X930" s="52"/>
      <c r="Y930" s="52"/>
      <c r="Z930" s="52"/>
    </row>
    <row r="931">
      <c r="A931" s="11"/>
      <c r="B931" s="89"/>
      <c r="C931" s="11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69"/>
      <c r="Q931" s="4"/>
      <c r="R931" s="52"/>
      <c r="S931" s="52"/>
      <c r="T931" s="52"/>
      <c r="U931" s="52"/>
      <c r="V931" s="52"/>
      <c r="W931" s="52"/>
      <c r="X931" s="52"/>
      <c r="Y931" s="52"/>
      <c r="Z931" s="52"/>
    </row>
    <row r="932">
      <c r="A932" s="11"/>
      <c r="B932" s="89"/>
      <c r="C932" s="11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69"/>
      <c r="Q932" s="4"/>
      <c r="R932" s="52"/>
      <c r="S932" s="52"/>
      <c r="T932" s="52"/>
      <c r="U932" s="52"/>
      <c r="V932" s="52"/>
      <c r="W932" s="52"/>
      <c r="X932" s="52"/>
      <c r="Y932" s="52"/>
      <c r="Z932" s="52"/>
    </row>
    <row r="933">
      <c r="A933" s="11"/>
      <c r="B933" s="89"/>
      <c r="C933" s="11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69"/>
      <c r="Q933" s="4"/>
      <c r="R933" s="52"/>
      <c r="S933" s="52"/>
      <c r="T933" s="52"/>
      <c r="U933" s="52"/>
      <c r="V933" s="52"/>
      <c r="W933" s="52"/>
      <c r="X933" s="52"/>
      <c r="Y933" s="52"/>
      <c r="Z933" s="52"/>
    </row>
    <row r="934">
      <c r="A934" s="11"/>
      <c r="B934" s="89"/>
      <c r="C934" s="11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69"/>
      <c r="Q934" s="4"/>
      <c r="R934" s="52"/>
      <c r="S934" s="52"/>
      <c r="T934" s="52"/>
      <c r="U934" s="52"/>
      <c r="V934" s="52"/>
      <c r="W934" s="52"/>
      <c r="X934" s="52"/>
      <c r="Y934" s="52"/>
      <c r="Z934" s="52"/>
    </row>
    <row r="935">
      <c r="A935" s="11"/>
      <c r="B935" s="89"/>
      <c r="C935" s="11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69"/>
      <c r="Q935" s="4"/>
      <c r="R935" s="52"/>
      <c r="S935" s="52"/>
      <c r="T935" s="52"/>
      <c r="U935" s="52"/>
      <c r="V935" s="52"/>
      <c r="W935" s="52"/>
      <c r="X935" s="52"/>
      <c r="Y935" s="52"/>
      <c r="Z935" s="52"/>
    </row>
    <row r="936">
      <c r="A936" s="11"/>
      <c r="B936" s="89"/>
      <c r="C936" s="11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69"/>
      <c r="Q936" s="4"/>
      <c r="R936" s="52"/>
      <c r="S936" s="52"/>
      <c r="T936" s="52"/>
      <c r="U936" s="52"/>
      <c r="V936" s="52"/>
      <c r="W936" s="52"/>
      <c r="X936" s="52"/>
      <c r="Y936" s="52"/>
      <c r="Z936" s="52"/>
    </row>
    <row r="937">
      <c r="A937" s="11"/>
      <c r="B937" s="89"/>
      <c r="C937" s="11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69"/>
      <c r="Q937" s="4"/>
      <c r="R937" s="52"/>
      <c r="S937" s="52"/>
      <c r="T937" s="52"/>
      <c r="U937" s="52"/>
      <c r="V937" s="52"/>
      <c r="W937" s="52"/>
      <c r="X937" s="52"/>
      <c r="Y937" s="52"/>
      <c r="Z937" s="52"/>
    </row>
    <row r="938">
      <c r="A938" s="11"/>
      <c r="B938" s="89"/>
      <c r="C938" s="11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69"/>
      <c r="Q938" s="4"/>
      <c r="R938" s="52"/>
      <c r="S938" s="52"/>
      <c r="T938" s="52"/>
      <c r="U938" s="52"/>
      <c r="V938" s="52"/>
      <c r="W938" s="52"/>
      <c r="X938" s="52"/>
      <c r="Y938" s="52"/>
      <c r="Z938" s="52"/>
    </row>
    <row r="939">
      <c r="A939" s="11"/>
      <c r="B939" s="89"/>
      <c r="C939" s="11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69"/>
      <c r="Q939" s="4"/>
      <c r="R939" s="52"/>
      <c r="S939" s="52"/>
      <c r="T939" s="52"/>
      <c r="U939" s="52"/>
      <c r="V939" s="52"/>
      <c r="W939" s="52"/>
      <c r="X939" s="52"/>
      <c r="Y939" s="52"/>
      <c r="Z939" s="52"/>
    </row>
    <row r="940">
      <c r="A940" s="11"/>
      <c r="B940" s="89"/>
      <c r="C940" s="11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69"/>
      <c r="Q940" s="4"/>
      <c r="R940" s="52"/>
      <c r="S940" s="52"/>
      <c r="T940" s="52"/>
      <c r="U940" s="52"/>
      <c r="V940" s="52"/>
      <c r="W940" s="52"/>
      <c r="X940" s="52"/>
      <c r="Y940" s="52"/>
      <c r="Z940" s="52"/>
    </row>
    <row r="941">
      <c r="A941" s="11"/>
      <c r="B941" s="89"/>
      <c r="C941" s="11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69"/>
      <c r="Q941" s="4"/>
      <c r="R941" s="52"/>
      <c r="S941" s="52"/>
      <c r="T941" s="52"/>
      <c r="U941" s="52"/>
      <c r="V941" s="52"/>
      <c r="W941" s="52"/>
      <c r="X941" s="52"/>
      <c r="Y941" s="52"/>
      <c r="Z941" s="52"/>
    </row>
    <row r="942">
      <c r="A942" s="11"/>
      <c r="B942" s="89"/>
      <c r="C942" s="11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69"/>
      <c r="Q942" s="4"/>
      <c r="R942" s="52"/>
      <c r="S942" s="52"/>
      <c r="T942" s="52"/>
      <c r="U942" s="52"/>
      <c r="V942" s="52"/>
      <c r="W942" s="52"/>
      <c r="X942" s="52"/>
      <c r="Y942" s="52"/>
      <c r="Z942" s="52"/>
    </row>
    <row r="943">
      <c r="A943" s="11"/>
      <c r="B943" s="89"/>
      <c r="C943" s="11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69"/>
      <c r="Q943" s="4"/>
      <c r="R943" s="52"/>
      <c r="S943" s="52"/>
      <c r="T943" s="52"/>
      <c r="U943" s="52"/>
      <c r="V943" s="52"/>
      <c r="W943" s="52"/>
      <c r="X943" s="52"/>
      <c r="Y943" s="52"/>
      <c r="Z943" s="52"/>
    </row>
    <row r="944">
      <c r="A944" s="11"/>
      <c r="B944" s="89"/>
      <c r="C944" s="11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69"/>
      <c r="Q944" s="4"/>
      <c r="R944" s="52"/>
      <c r="S944" s="52"/>
      <c r="T944" s="52"/>
      <c r="U944" s="52"/>
      <c r="V944" s="52"/>
      <c r="W944" s="52"/>
      <c r="X944" s="52"/>
      <c r="Y944" s="52"/>
      <c r="Z944" s="52"/>
    </row>
    <row r="945">
      <c r="A945" s="11"/>
      <c r="B945" s="89"/>
      <c r="C945" s="11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69"/>
      <c r="Q945" s="4"/>
      <c r="R945" s="52"/>
      <c r="S945" s="52"/>
      <c r="T945" s="52"/>
      <c r="U945" s="52"/>
      <c r="V945" s="52"/>
      <c r="W945" s="52"/>
      <c r="X945" s="52"/>
      <c r="Y945" s="52"/>
      <c r="Z945" s="52"/>
    </row>
    <row r="946">
      <c r="A946" s="11"/>
      <c r="B946" s="89"/>
      <c r="C946" s="11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69"/>
      <c r="Q946" s="4"/>
      <c r="R946" s="52"/>
      <c r="S946" s="52"/>
      <c r="T946" s="52"/>
      <c r="U946" s="52"/>
      <c r="V946" s="52"/>
      <c r="W946" s="52"/>
      <c r="X946" s="52"/>
      <c r="Y946" s="52"/>
      <c r="Z946" s="52"/>
    </row>
    <row r="947">
      <c r="A947" s="11"/>
      <c r="B947" s="89"/>
      <c r="C947" s="11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69"/>
      <c r="Q947" s="4"/>
      <c r="R947" s="52"/>
      <c r="S947" s="52"/>
      <c r="T947" s="52"/>
      <c r="U947" s="52"/>
      <c r="V947" s="52"/>
      <c r="W947" s="52"/>
      <c r="X947" s="52"/>
      <c r="Y947" s="52"/>
      <c r="Z947" s="52"/>
    </row>
    <row r="948">
      <c r="A948" s="11"/>
      <c r="B948" s="89"/>
      <c r="C948" s="11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69"/>
      <c r="Q948" s="4"/>
      <c r="R948" s="52"/>
      <c r="S948" s="52"/>
      <c r="T948" s="52"/>
      <c r="U948" s="52"/>
      <c r="V948" s="52"/>
      <c r="W948" s="52"/>
      <c r="X948" s="52"/>
      <c r="Y948" s="52"/>
      <c r="Z948" s="52"/>
    </row>
    <row r="949">
      <c r="A949" s="11"/>
      <c r="B949" s="89"/>
      <c r="C949" s="11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69"/>
      <c r="Q949" s="4"/>
      <c r="R949" s="52"/>
      <c r="S949" s="52"/>
      <c r="T949" s="52"/>
      <c r="U949" s="52"/>
      <c r="V949" s="52"/>
      <c r="W949" s="52"/>
      <c r="X949" s="52"/>
      <c r="Y949" s="52"/>
      <c r="Z949" s="52"/>
    </row>
    <row r="950">
      <c r="A950" s="11"/>
      <c r="B950" s="89"/>
      <c r="C950" s="11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69"/>
      <c r="Q950" s="4"/>
      <c r="R950" s="52"/>
      <c r="S950" s="52"/>
      <c r="T950" s="52"/>
      <c r="U950" s="52"/>
      <c r="V950" s="52"/>
      <c r="W950" s="52"/>
      <c r="X950" s="52"/>
      <c r="Y950" s="52"/>
      <c r="Z950" s="52"/>
    </row>
    <row r="951">
      <c r="A951" s="11"/>
      <c r="B951" s="89"/>
      <c r="C951" s="11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69"/>
      <c r="Q951" s="4"/>
      <c r="R951" s="52"/>
      <c r="S951" s="52"/>
      <c r="T951" s="52"/>
      <c r="U951" s="52"/>
      <c r="V951" s="52"/>
      <c r="W951" s="52"/>
      <c r="X951" s="52"/>
      <c r="Y951" s="52"/>
      <c r="Z951" s="52"/>
    </row>
    <row r="952">
      <c r="A952" s="11"/>
      <c r="B952" s="89"/>
      <c r="C952" s="11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69"/>
      <c r="Q952" s="4"/>
      <c r="R952" s="52"/>
      <c r="S952" s="52"/>
      <c r="T952" s="52"/>
      <c r="U952" s="52"/>
      <c r="V952" s="52"/>
      <c r="W952" s="52"/>
      <c r="X952" s="52"/>
      <c r="Y952" s="52"/>
      <c r="Z952" s="52"/>
    </row>
    <row r="953">
      <c r="A953" s="11"/>
      <c r="B953" s="89"/>
      <c r="C953" s="11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69"/>
      <c r="Q953" s="4"/>
      <c r="R953" s="52"/>
      <c r="S953" s="52"/>
      <c r="T953" s="52"/>
      <c r="U953" s="52"/>
      <c r="V953" s="52"/>
      <c r="W953" s="52"/>
      <c r="X953" s="52"/>
      <c r="Y953" s="52"/>
      <c r="Z953" s="52"/>
    </row>
    <row r="954">
      <c r="A954" s="11"/>
      <c r="B954" s="89"/>
      <c r="C954" s="11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69"/>
      <c r="Q954" s="4"/>
      <c r="R954" s="52"/>
      <c r="S954" s="52"/>
      <c r="T954" s="52"/>
      <c r="U954" s="52"/>
      <c r="V954" s="52"/>
      <c r="W954" s="52"/>
      <c r="X954" s="52"/>
      <c r="Y954" s="52"/>
      <c r="Z954" s="52"/>
    </row>
    <row r="955">
      <c r="A955" s="11"/>
      <c r="B955" s="89"/>
      <c r="C955" s="11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69"/>
      <c r="Q955" s="4"/>
      <c r="R955" s="52"/>
      <c r="S955" s="52"/>
      <c r="T955" s="52"/>
      <c r="U955" s="52"/>
      <c r="V955" s="52"/>
      <c r="W955" s="52"/>
      <c r="X955" s="52"/>
      <c r="Y955" s="52"/>
      <c r="Z955" s="52"/>
    </row>
    <row r="956">
      <c r="A956" s="11"/>
      <c r="B956" s="89"/>
      <c r="C956" s="11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69"/>
      <c r="Q956" s="4"/>
      <c r="R956" s="52"/>
      <c r="S956" s="52"/>
      <c r="T956" s="52"/>
      <c r="U956" s="52"/>
      <c r="V956" s="52"/>
      <c r="W956" s="52"/>
      <c r="X956" s="52"/>
      <c r="Y956" s="52"/>
      <c r="Z956" s="52"/>
    </row>
    <row r="957">
      <c r="A957" s="11"/>
      <c r="B957" s="89"/>
      <c r="C957" s="11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69"/>
      <c r="Q957" s="4"/>
      <c r="R957" s="52"/>
      <c r="S957" s="52"/>
      <c r="T957" s="52"/>
      <c r="U957" s="52"/>
      <c r="V957" s="52"/>
      <c r="W957" s="52"/>
      <c r="X957" s="52"/>
      <c r="Y957" s="52"/>
      <c r="Z957" s="52"/>
    </row>
    <row r="958">
      <c r="A958" s="11"/>
      <c r="B958" s="89"/>
      <c r="C958" s="11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69"/>
      <c r="Q958" s="4"/>
      <c r="R958" s="52"/>
      <c r="S958" s="52"/>
      <c r="T958" s="52"/>
      <c r="U958" s="52"/>
      <c r="V958" s="52"/>
      <c r="W958" s="52"/>
      <c r="X958" s="52"/>
      <c r="Y958" s="52"/>
      <c r="Z958" s="52"/>
    </row>
    <row r="959">
      <c r="A959" s="11"/>
      <c r="B959" s="89"/>
      <c r="C959" s="11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69"/>
      <c r="Q959" s="4"/>
      <c r="R959" s="52"/>
      <c r="S959" s="52"/>
      <c r="T959" s="52"/>
      <c r="U959" s="52"/>
      <c r="V959" s="52"/>
      <c r="W959" s="52"/>
      <c r="X959" s="52"/>
      <c r="Y959" s="52"/>
      <c r="Z959" s="52"/>
    </row>
    <row r="960">
      <c r="A960" s="11"/>
      <c r="B960" s="89"/>
      <c r="C960" s="11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69"/>
      <c r="Q960" s="4"/>
      <c r="R960" s="52"/>
      <c r="S960" s="52"/>
      <c r="T960" s="52"/>
      <c r="U960" s="52"/>
      <c r="V960" s="52"/>
      <c r="W960" s="52"/>
      <c r="X960" s="52"/>
      <c r="Y960" s="52"/>
      <c r="Z960" s="52"/>
    </row>
    <row r="961">
      <c r="A961" s="11"/>
      <c r="B961" s="89"/>
      <c r="C961" s="11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69"/>
      <c r="Q961" s="4"/>
      <c r="R961" s="52"/>
      <c r="S961" s="52"/>
      <c r="T961" s="52"/>
      <c r="U961" s="52"/>
      <c r="V961" s="52"/>
      <c r="W961" s="52"/>
      <c r="X961" s="52"/>
      <c r="Y961" s="52"/>
      <c r="Z961" s="52"/>
    </row>
    <row r="962">
      <c r="A962" s="11"/>
      <c r="B962" s="89"/>
      <c r="C962" s="11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69"/>
      <c r="Q962" s="4"/>
      <c r="R962" s="52"/>
      <c r="S962" s="52"/>
      <c r="T962" s="52"/>
      <c r="U962" s="52"/>
      <c r="V962" s="52"/>
      <c r="W962" s="52"/>
      <c r="X962" s="52"/>
      <c r="Y962" s="52"/>
      <c r="Z962" s="52"/>
    </row>
    <row r="963">
      <c r="A963" s="11"/>
      <c r="B963" s="89"/>
      <c r="C963" s="11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69"/>
      <c r="Q963" s="4"/>
      <c r="R963" s="52"/>
      <c r="S963" s="52"/>
      <c r="T963" s="52"/>
      <c r="U963" s="52"/>
      <c r="V963" s="52"/>
      <c r="W963" s="52"/>
      <c r="X963" s="52"/>
      <c r="Y963" s="52"/>
      <c r="Z963" s="52"/>
    </row>
    <row r="964">
      <c r="A964" s="11"/>
      <c r="B964" s="89"/>
      <c r="C964" s="11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69"/>
      <c r="Q964" s="4"/>
      <c r="R964" s="52"/>
      <c r="S964" s="52"/>
      <c r="T964" s="52"/>
      <c r="U964" s="52"/>
      <c r="V964" s="52"/>
      <c r="W964" s="52"/>
      <c r="X964" s="52"/>
      <c r="Y964" s="52"/>
      <c r="Z964" s="52"/>
    </row>
    <row r="965">
      <c r="A965" s="11"/>
      <c r="B965" s="89"/>
      <c r="C965" s="11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69"/>
      <c r="Q965" s="4"/>
      <c r="R965" s="52"/>
      <c r="S965" s="52"/>
      <c r="T965" s="52"/>
      <c r="U965" s="52"/>
      <c r="V965" s="52"/>
      <c r="W965" s="52"/>
      <c r="X965" s="52"/>
      <c r="Y965" s="52"/>
      <c r="Z965" s="52"/>
    </row>
    <row r="966">
      <c r="A966" s="11"/>
      <c r="B966" s="89"/>
      <c r="C966" s="11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69"/>
      <c r="Q966" s="4"/>
      <c r="R966" s="52"/>
      <c r="S966" s="52"/>
      <c r="T966" s="52"/>
      <c r="U966" s="52"/>
      <c r="V966" s="52"/>
      <c r="W966" s="52"/>
      <c r="X966" s="52"/>
      <c r="Y966" s="52"/>
      <c r="Z966" s="52"/>
    </row>
    <row r="967">
      <c r="A967" s="11"/>
      <c r="B967" s="89"/>
      <c r="C967" s="11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69"/>
      <c r="Q967" s="4"/>
      <c r="R967" s="52"/>
      <c r="S967" s="52"/>
      <c r="T967" s="52"/>
      <c r="U967" s="52"/>
      <c r="V967" s="52"/>
      <c r="W967" s="52"/>
      <c r="X967" s="52"/>
      <c r="Y967" s="52"/>
      <c r="Z967" s="52"/>
    </row>
    <row r="968">
      <c r="A968" s="11"/>
      <c r="B968" s="89"/>
      <c r="C968" s="11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69"/>
      <c r="Q968" s="4"/>
      <c r="R968" s="52"/>
      <c r="S968" s="52"/>
      <c r="T968" s="52"/>
      <c r="U968" s="52"/>
      <c r="V968" s="52"/>
      <c r="W968" s="52"/>
      <c r="X968" s="52"/>
      <c r="Y968" s="52"/>
      <c r="Z968" s="52"/>
    </row>
    <row r="969">
      <c r="A969" s="11"/>
      <c r="B969" s="89"/>
      <c r="C969" s="11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69"/>
      <c r="Q969" s="4"/>
      <c r="R969" s="52"/>
      <c r="S969" s="52"/>
      <c r="T969" s="52"/>
      <c r="U969" s="52"/>
      <c r="V969" s="52"/>
      <c r="W969" s="52"/>
      <c r="X969" s="52"/>
      <c r="Y969" s="52"/>
      <c r="Z969" s="52"/>
    </row>
    <row r="970">
      <c r="A970" s="11"/>
      <c r="B970" s="89"/>
      <c r="C970" s="11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69"/>
      <c r="Q970" s="4"/>
      <c r="R970" s="52"/>
      <c r="S970" s="52"/>
      <c r="T970" s="52"/>
      <c r="U970" s="52"/>
      <c r="V970" s="52"/>
      <c r="W970" s="52"/>
      <c r="X970" s="52"/>
      <c r="Y970" s="52"/>
      <c r="Z970" s="52"/>
    </row>
    <row r="971">
      <c r="A971" s="11"/>
      <c r="B971" s="89"/>
      <c r="C971" s="11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69"/>
      <c r="Q971" s="4"/>
      <c r="R971" s="52"/>
      <c r="S971" s="52"/>
      <c r="T971" s="52"/>
      <c r="U971" s="52"/>
      <c r="V971" s="52"/>
      <c r="W971" s="52"/>
      <c r="X971" s="52"/>
      <c r="Y971" s="52"/>
      <c r="Z971" s="52"/>
    </row>
    <row r="972">
      <c r="A972" s="11"/>
      <c r="B972" s="89"/>
      <c r="C972" s="11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69"/>
      <c r="Q972" s="4"/>
      <c r="R972" s="52"/>
      <c r="S972" s="52"/>
      <c r="T972" s="52"/>
      <c r="U972" s="52"/>
      <c r="V972" s="52"/>
      <c r="W972" s="52"/>
      <c r="X972" s="52"/>
      <c r="Y972" s="52"/>
      <c r="Z972" s="52"/>
    </row>
    <row r="973">
      <c r="A973" s="11"/>
      <c r="B973" s="89"/>
      <c r="C973" s="11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69"/>
      <c r="Q973" s="4"/>
      <c r="R973" s="52"/>
      <c r="S973" s="52"/>
      <c r="T973" s="52"/>
      <c r="U973" s="52"/>
      <c r="V973" s="52"/>
      <c r="W973" s="52"/>
      <c r="X973" s="52"/>
      <c r="Y973" s="52"/>
      <c r="Z973" s="52"/>
    </row>
    <row r="974">
      <c r="A974" s="11"/>
      <c r="B974" s="89"/>
      <c r="C974" s="11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69"/>
      <c r="Q974" s="4"/>
      <c r="R974" s="52"/>
      <c r="S974" s="52"/>
      <c r="T974" s="52"/>
      <c r="U974" s="52"/>
      <c r="V974" s="52"/>
      <c r="W974" s="52"/>
      <c r="X974" s="52"/>
      <c r="Y974" s="52"/>
      <c r="Z974" s="52"/>
    </row>
    <row r="975">
      <c r="A975" s="11"/>
      <c r="B975" s="89"/>
      <c r="C975" s="11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69"/>
      <c r="Q975" s="4"/>
      <c r="R975" s="52"/>
      <c r="S975" s="52"/>
      <c r="T975" s="52"/>
      <c r="U975" s="52"/>
      <c r="V975" s="52"/>
      <c r="W975" s="52"/>
      <c r="X975" s="52"/>
      <c r="Y975" s="52"/>
      <c r="Z975" s="52"/>
    </row>
    <row r="976">
      <c r="A976" s="11"/>
      <c r="B976" s="89"/>
      <c r="C976" s="11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69"/>
      <c r="Q976" s="4"/>
      <c r="R976" s="52"/>
      <c r="S976" s="52"/>
      <c r="T976" s="52"/>
      <c r="U976" s="52"/>
      <c r="V976" s="52"/>
      <c r="W976" s="52"/>
      <c r="X976" s="52"/>
      <c r="Y976" s="52"/>
      <c r="Z976" s="52"/>
    </row>
    <row r="977">
      <c r="A977" s="11"/>
      <c r="B977" s="89"/>
      <c r="C977" s="11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69"/>
      <c r="Q977" s="4"/>
      <c r="R977" s="52"/>
      <c r="S977" s="52"/>
      <c r="T977" s="52"/>
      <c r="U977" s="52"/>
      <c r="V977" s="52"/>
      <c r="W977" s="52"/>
      <c r="X977" s="52"/>
      <c r="Y977" s="52"/>
      <c r="Z977" s="52"/>
    </row>
    <row r="978">
      <c r="A978" s="11"/>
      <c r="B978" s="89"/>
      <c r="C978" s="11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69"/>
      <c r="Q978" s="4"/>
      <c r="R978" s="52"/>
      <c r="S978" s="52"/>
      <c r="T978" s="52"/>
      <c r="U978" s="52"/>
      <c r="V978" s="52"/>
      <c r="W978" s="52"/>
      <c r="X978" s="52"/>
      <c r="Y978" s="52"/>
      <c r="Z978" s="52"/>
    </row>
    <row r="979">
      <c r="A979" s="11"/>
      <c r="B979" s="89"/>
      <c r="C979" s="11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69"/>
      <c r="Q979" s="4"/>
      <c r="R979" s="52"/>
      <c r="S979" s="52"/>
      <c r="T979" s="52"/>
      <c r="U979" s="52"/>
      <c r="V979" s="52"/>
      <c r="W979" s="52"/>
      <c r="X979" s="52"/>
      <c r="Y979" s="52"/>
      <c r="Z979" s="52"/>
    </row>
    <row r="980">
      <c r="A980" s="11"/>
      <c r="B980" s="89"/>
      <c r="C980" s="11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69"/>
      <c r="Q980" s="4"/>
      <c r="R980" s="52"/>
      <c r="S980" s="52"/>
      <c r="T980" s="52"/>
      <c r="U980" s="52"/>
      <c r="V980" s="52"/>
      <c r="W980" s="52"/>
      <c r="X980" s="52"/>
      <c r="Y980" s="52"/>
      <c r="Z980" s="52"/>
    </row>
    <row r="981">
      <c r="A981" s="11"/>
      <c r="B981" s="89"/>
      <c r="C981" s="11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69"/>
      <c r="Q981" s="4"/>
      <c r="R981" s="52"/>
      <c r="S981" s="52"/>
      <c r="T981" s="52"/>
      <c r="U981" s="52"/>
      <c r="V981" s="52"/>
      <c r="W981" s="52"/>
      <c r="X981" s="52"/>
      <c r="Y981" s="52"/>
      <c r="Z981" s="52"/>
    </row>
    <row r="982">
      <c r="A982" s="11"/>
      <c r="B982" s="89"/>
      <c r="C982" s="11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69"/>
      <c r="Q982" s="4"/>
      <c r="R982" s="52"/>
      <c r="S982" s="52"/>
      <c r="T982" s="52"/>
      <c r="U982" s="52"/>
      <c r="V982" s="52"/>
      <c r="W982" s="52"/>
      <c r="X982" s="52"/>
      <c r="Y982" s="52"/>
      <c r="Z982" s="52"/>
    </row>
    <row r="983">
      <c r="A983" s="11"/>
      <c r="B983" s="89"/>
      <c r="C983" s="11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69"/>
      <c r="Q983" s="4"/>
      <c r="R983" s="52"/>
      <c r="S983" s="52"/>
      <c r="T983" s="52"/>
      <c r="U983" s="52"/>
      <c r="V983" s="52"/>
      <c r="W983" s="52"/>
      <c r="X983" s="52"/>
      <c r="Y983" s="52"/>
      <c r="Z983" s="52"/>
    </row>
    <row r="984">
      <c r="A984" s="11"/>
      <c r="B984" s="89"/>
      <c r="C984" s="11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69"/>
      <c r="Q984" s="4"/>
      <c r="R984" s="52"/>
      <c r="S984" s="52"/>
      <c r="T984" s="52"/>
      <c r="U984" s="52"/>
      <c r="V984" s="52"/>
      <c r="W984" s="52"/>
      <c r="X984" s="52"/>
      <c r="Y984" s="52"/>
      <c r="Z984" s="52"/>
    </row>
    <row r="985">
      <c r="A985" s="11"/>
      <c r="B985" s="89"/>
      <c r="C985" s="11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69"/>
      <c r="Q985" s="4"/>
      <c r="R985" s="52"/>
      <c r="S985" s="52"/>
      <c r="T985" s="52"/>
      <c r="U985" s="52"/>
      <c r="V985" s="52"/>
      <c r="W985" s="52"/>
      <c r="X985" s="52"/>
      <c r="Y985" s="52"/>
      <c r="Z985" s="52"/>
    </row>
    <row r="986">
      <c r="A986" s="11"/>
      <c r="B986" s="89"/>
      <c r="C986" s="11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69"/>
      <c r="Q986" s="4"/>
      <c r="R986" s="52"/>
      <c r="S986" s="52"/>
      <c r="T986" s="52"/>
      <c r="U986" s="52"/>
      <c r="V986" s="52"/>
      <c r="W986" s="52"/>
      <c r="X986" s="52"/>
      <c r="Y986" s="52"/>
      <c r="Z986" s="52"/>
    </row>
    <row r="987">
      <c r="A987" s="11"/>
      <c r="B987" s="89"/>
      <c r="C987" s="11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69"/>
      <c r="Q987" s="4"/>
      <c r="R987" s="52"/>
      <c r="S987" s="52"/>
      <c r="T987" s="52"/>
      <c r="U987" s="52"/>
      <c r="V987" s="52"/>
      <c r="W987" s="52"/>
      <c r="X987" s="52"/>
      <c r="Y987" s="52"/>
      <c r="Z987" s="52"/>
    </row>
    <row r="988">
      <c r="A988" s="11"/>
      <c r="B988" s="89"/>
      <c r="C988" s="11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69"/>
      <c r="Q988" s="4"/>
      <c r="R988" s="52"/>
      <c r="S988" s="52"/>
      <c r="T988" s="52"/>
      <c r="U988" s="52"/>
      <c r="V988" s="52"/>
      <c r="W988" s="52"/>
      <c r="X988" s="52"/>
      <c r="Y988" s="52"/>
      <c r="Z988" s="52"/>
    </row>
    <row r="989">
      <c r="A989" s="11"/>
      <c r="B989" s="89"/>
      <c r="C989" s="11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69"/>
      <c r="Q989" s="4"/>
      <c r="R989" s="52"/>
      <c r="S989" s="52"/>
      <c r="T989" s="52"/>
      <c r="U989" s="52"/>
      <c r="V989" s="52"/>
      <c r="W989" s="52"/>
      <c r="X989" s="52"/>
      <c r="Y989" s="52"/>
      <c r="Z989" s="52"/>
    </row>
    <row r="990">
      <c r="A990" s="11"/>
      <c r="B990" s="89"/>
      <c r="C990" s="11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69"/>
      <c r="Q990" s="4"/>
      <c r="R990" s="52"/>
      <c r="S990" s="52"/>
      <c r="T990" s="52"/>
      <c r="U990" s="52"/>
      <c r="V990" s="52"/>
      <c r="W990" s="52"/>
      <c r="X990" s="52"/>
      <c r="Y990" s="52"/>
      <c r="Z990" s="52"/>
    </row>
    <row r="991">
      <c r="A991" s="11"/>
      <c r="B991" s="89"/>
      <c r="C991" s="11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69"/>
      <c r="Q991" s="4"/>
      <c r="R991" s="52"/>
      <c r="S991" s="52"/>
      <c r="T991" s="52"/>
      <c r="U991" s="52"/>
      <c r="V991" s="52"/>
      <c r="W991" s="52"/>
      <c r="X991" s="52"/>
      <c r="Y991" s="52"/>
      <c r="Z991" s="52"/>
    </row>
    <row r="992">
      <c r="A992" s="11"/>
      <c r="B992" s="89"/>
      <c r="C992" s="11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69"/>
      <c r="Q992" s="4"/>
      <c r="R992" s="52"/>
      <c r="S992" s="52"/>
      <c r="T992" s="52"/>
      <c r="U992" s="52"/>
      <c r="V992" s="52"/>
      <c r="W992" s="52"/>
      <c r="X992" s="52"/>
      <c r="Y992" s="52"/>
      <c r="Z992" s="52"/>
    </row>
    <row r="993">
      <c r="A993" s="11"/>
      <c r="B993" s="89"/>
      <c r="C993" s="11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69"/>
      <c r="Q993" s="4"/>
      <c r="R993" s="52"/>
      <c r="S993" s="52"/>
      <c r="T993" s="52"/>
      <c r="U993" s="52"/>
      <c r="V993" s="52"/>
      <c r="W993" s="52"/>
      <c r="X993" s="52"/>
      <c r="Y993" s="52"/>
      <c r="Z993" s="52"/>
    </row>
    <row r="994">
      <c r="A994" s="11"/>
      <c r="B994" s="89"/>
      <c r="C994" s="11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69"/>
      <c r="Q994" s="4"/>
      <c r="R994" s="52"/>
      <c r="S994" s="52"/>
      <c r="T994" s="52"/>
      <c r="U994" s="52"/>
      <c r="V994" s="52"/>
      <c r="W994" s="52"/>
      <c r="X994" s="52"/>
      <c r="Y994" s="52"/>
      <c r="Z994" s="52"/>
    </row>
    <row r="995">
      <c r="A995" s="11"/>
      <c r="B995" s="89"/>
      <c r="C995" s="11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69"/>
      <c r="Q995" s="4"/>
      <c r="R995" s="52"/>
      <c r="S995" s="52"/>
      <c r="T995" s="52"/>
      <c r="U995" s="52"/>
      <c r="V995" s="52"/>
      <c r="W995" s="52"/>
      <c r="X995" s="52"/>
      <c r="Y995" s="52"/>
      <c r="Z995" s="52"/>
    </row>
    <row r="996">
      <c r="A996" s="11"/>
      <c r="B996" s="89"/>
      <c r="C996" s="11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69"/>
      <c r="Q996" s="4"/>
      <c r="R996" s="52"/>
      <c r="S996" s="52"/>
      <c r="T996" s="52"/>
      <c r="U996" s="52"/>
      <c r="V996" s="52"/>
      <c r="W996" s="52"/>
      <c r="X996" s="52"/>
      <c r="Y996" s="52"/>
      <c r="Z996" s="52"/>
    </row>
    <row r="997">
      <c r="A997" s="11"/>
      <c r="B997" s="89"/>
      <c r="C997" s="11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69"/>
      <c r="Q997" s="4"/>
      <c r="R997" s="52"/>
      <c r="S997" s="52"/>
      <c r="T997" s="52"/>
      <c r="U997" s="52"/>
      <c r="V997" s="52"/>
      <c r="W997" s="52"/>
      <c r="X997" s="52"/>
      <c r="Y997" s="52"/>
      <c r="Z997" s="52"/>
    </row>
    <row r="998">
      <c r="A998" s="11"/>
      <c r="B998" s="89"/>
      <c r="C998" s="11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69"/>
      <c r="Q998" s="4"/>
      <c r="R998" s="52"/>
      <c r="S998" s="52"/>
      <c r="T998" s="52"/>
      <c r="U998" s="52"/>
      <c r="V998" s="52"/>
      <c r="W998" s="52"/>
      <c r="X998" s="52"/>
      <c r="Y998" s="52"/>
      <c r="Z998" s="52"/>
    </row>
    <row r="999">
      <c r="A999" s="11"/>
      <c r="B999" s="89"/>
      <c r="C999" s="11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69"/>
      <c r="Q999" s="4"/>
      <c r="R999" s="52"/>
      <c r="S999" s="52"/>
      <c r="T999" s="52"/>
      <c r="U999" s="52"/>
      <c r="V999" s="52"/>
      <c r="W999" s="52"/>
      <c r="X999" s="52"/>
      <c r="Y999" s="52"/>
      <c r="Z999" s="52"/>
    </row>
  </sheetData>
  <mergeCells count="1">
    <mergeCell ref="K1:O1"/>
  </mergeCells>
  <hyperlinks>
    <hyperlink display="Almond" location="null!A1" ref="B3"/>
    <hyperlink display="Aonla" location="null!A1" ref="B4"/>
    <hyperlink display="Bael" location="null!A1" ref="B5"/>
    <hyperlink display="Bael" location="null!A1" ref="B6"/>
    <hyperlink display="Bael" location="null!A1" ref="B7"/>
    <hyperlink display="Bael" location="null!A1" ref="B8"/>
    <hyperlink display="Ber" location="null!A1" ref="B9"/>
    <hyperlink display="Curry Leaf " location="null!A1" ref="B10"/>
    <hyperlink display="Dragon Fruit" location="null!A1" ref="B11"/>
    <hyperlink display="Dragon Fruit" location="null!A1" ref="B12"/>
    <hyperlink display="Drum Stick" location="null!A1" ref="B13"/>
    <hyperlink display="Fig" location="null!A1" ref="B14"/>
    <hyperlink display="Fig" location="null!A1" ref="B15"/>
    <hyperlink display="Fig" location="null!A1" ref="B16"/>
    <hyperlink display="Grapefruit " location="null!A1" ref="B17"/>
    <hyperlink display="Guava " location="null!A1" ref="B18"/>
    <hyperlink display="Guava " location="null!A1" ref="B19"/>
    <hyperlink display="Jackfruit " location="null!A1" ref="B20"/>
    <hyperlink display="Jackfruit " location="null!A1" ref="B21"/>
    <hyperlink display="Jamun" location="null!A1" ref="B22"/>
    <hyperlink display="Jamun" location="null!A1" ref="B23"/>
    <hyperlink display="Kamrakh" location="null!A1" ref="B24"/>
    <hyperlink display="Kamrakh" location="null!A1" ref="B25"/>
    <hyperlink display="Karonda" location="null!A1" ref="B26"/>
    <hyperlink display="Karonda" location="null!A1" ref="B27"/>
    <hyperlink display="Kinnow" location="null!A1" ref="B28"/>
    <hyperlink display="Lemon" location="null!A1" ref="B29"/>
    <hyperlink display="Lemon" location="null!A1" ref="B30"/>
    <hyperlink display="Lemon" location="null!A1" ref="B31"/>
    <hyperlink display="Lime" location="null!A1" ref="B32"/>
    <hyperlink display="Lime" location="null!A1" ref="B33"/>
    <hyperlink display="Lime" location="null!A1" ref="B34"/>
    <hyperlink display="Lime" location="null!A1" ref="B35"/>
    <hyperlink display="Lime" location="null!A1" ref="B36"/>
    <hyperlink display="Mosambi" location="null!A1" ref="B37"/>
    <hyperlink display="Mosambi" location="null!A1" ref="B38"/>
    <hyperlink display="Mulberry" location="null!A1" ref="B39"/>
    <hyperlink display="Pumello" location="null!A1" ref="B40"/>
    <hyperlink display="Pumello" location="null!A1" ref="B41"/>
    <hyperlink display="Sitaphal" location="null!A1" ref="B42"/>
    <hyperlink display="Laxmanfal " location="null!A1" ref="B43"/>
    <hyperlink display="Wax Apple" location="null!A1" ref="B44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6.5"/>
    <col customWidth="1" min="2" max="2" width="19.13"/>
    <col customWidth="1" min="3" max="3" width="14.63"/>
    <col customWidth="1" min="4" max="4" width="26.38"/>
    <col customWidth="1" min="5" max="5" width="12.25"/>
    <col customWidth="1" min="6" max="6" width="6.0"/>
    <col customWidth="1" min="7" max="7" width="12.25"/>
    <col customWidth="1" min="41" max="41" width="17.25"/>
  </cols>
  <sheetData>
    <row r="1">
      <c r="A1" s="61" t="str">
        <f>IFERROR(__xludf.DUMMYFUNCTION("IMPORTRANGE(""1K-FGL8dClwiB4jfT-PlkdyPkQSjOgKYp2-tQOG31ccA"",""TO BE SUPPLY LIST!A1:AW"")"),"VNR NURSERY PVT. LTD.")</f>
        <v>VNR NURSERY PVT. LTD.</v>
      </c>
      <c r="B1" s="29"/>
      <c r="C1" s="29"/>
      <c r="D1" s="29"/>
      <c r="E1" s="29"/>
      <c r="F1" s="29"/>
      <c r="G1" s="29"/>
      <c r="H1" s="30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>
      <c r="A2" s="61" t="str">
        <f>IFERROR(__xludf.DUMMYFUNCTION("""COMPUTED_VALUE""")," PLANTS TO BE SUPPLIED")</f>
        <v> PLANTS TO BE SUPPLIED</v>
      </c>
      <c r="B2" s="29"/>
      <c r="C2" s="29"/>
      <c r="D2" s="29"/>
      <c r="E2" s="29"/>
      <c r="F2" s="29"/>
      <c r="G2" s="29"/>
      <c r="H2" s="30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91"/>
      <c r="AT2" s="91"/>
      <c r="AU2" s="91"/>
      <c r="AV2" s="91"/>
      <c r="AW2" s="91"/>
      <c r="AX2" s="91"/>
      <c r="AY2" s="91"/>
      <c r="AZ2" s="91"/>
      <c r="BA2" s="91"/>
      <c r="BB2" s="91"/>
    </row>
    <row r="3">
      <c r="A3" s="61" t="str">
        <f>IFERROR(__xludf.DUMMYFUNCTION("""COMPUTED_VALUE"""),"Other plants Booking status as on 27.04.2023")</f>
        <v>Other plants Booking status as on 27.04.2023</v>
      </c>
      <c r="B3" s="29"/>
      <c r="C3" s="29"/>
      <c r="D3" s="29"/>
      <c r="E3" s="29"/>
      <c r="F3" s="29"/>
      <c r="G3" s="29"/>
      <c r="H3" s="30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91"/>
      <c r="AT3" s="91"/>
      <c r="AU3" s="91"/>
      <c r="AV3" s="91"/>
      <c r="AW3" s="91"/>
      <c r="AX3" s="91"/>
      <c r="AY3" s="91"/>
      <c r="AZ3" s="91"/>
      <c r="BA3" s="91"/>
      <c r="BB3" s="91"/>
    </row>
    <row r="4">
      <c r="A4" s="92" t="str">
        <f>IFERROR(__xludf.DUMMYFUNCTION("""COMPUTED_VALUE"""),"S.NO")</f>
        <v>S.NO</v>
      </c>
      <c r="B4" s="93" t="str">
        <f>IFERROR(__xludf.DUMMYFUNCTION("""COMPUTED_VALUE"""),"NAME OF FARMERS")</f>
        <v>NAME OF FARMERS</v>
      </c>
      <c r="C4" s="93" t="str">
        <f>IFERROR(__xludf.DUMMYFUNCTION("""COMPUTED_VALUE"""),"CONTACT NO.")</f>
        <v>CONTACT NO.</v>
      </c>
      <c r="D4" s="93" t="str">
        <f>IFERROR(__xludf.DUMMYFUNCTION("""COMPUTED_VALUE"""),"ADDRESS")</f>
        <v>ADDRESS</v>
      </c>
      <c r="E4" s="93" t="str">
        <f>IFERROR(__xludf.DUMMYFUNCTION("""COMPUTED_VALUE"""),"DISTRICT")</f>
        <v>DISTRICT</v>
      </c>
      <c r="F4" s="93" t="str">
        <f>IFERROR(__xludf.DUMMYFUNCTION("""COMPUTED_VALUE"""),"STATE")</f>
        <v>STATE</v>
      </c>
      <c r="G4" s="94" t="str">
        <f>IFERROR(__xludf.DUMMYFUNCTION("""COMPUTED_VALUE"""),"B.D")</f>
        <v>B.D</v>
      </c>
      <c r="H4" s="93" t="str">
        <f>IFERROR(__xludf.DUMMYFUNCTION("""COMPUTED_VALUE"""),"N.O.P")</f>
        <v>N.O.P</v>
      </c>
      <c r="I4" s="93" t="str">
        <f>IFERROR(__xludf.DUMMYFUNCTION("""COMPUTED_VALUE"""),"Ber")</f>
        <v>Ber</v>
      </c>
      <c r="J4" s="93" t="str">
        <f>IFERROR(__xludf.DUMMYFUNCTION("""COMPUTED_VALUE"""),"Jackfruit")</f>
        <v>Jackfruit</v>
      </c>
      <c r="K4" s="93" t="str">
        <f>IFERROR(__xludf.DUMMYFUNCTION("""COMPUTED_VALUE"""),"Jackfruit")</f>
        <v>Jackfruit</v>
      </c>
      <c r="L4" s="93" t="str">
        <f>IFERROR(__xludf.DUMMYFUNCTION("""COMPUTED_VALUE"""),"Lemon")</f>
        <v>Lemon</v>
      </c>
      <c r="M4" s="93" t="str">
        <f>IFERROR(__xludf.DUMMYFUNCTION("""COMPUTED_VALUE""")," LEMON")</f>
        <v> LEMON</v>
      </c>
      <c r="N4" s="93" t="str">
        <f>IFERROR(__xludf.DUMMYFUNCTION("""COMPUTED_VALUE"""),"LIME")</f>
        <v>LIME</v>
      </c>
      <c r="O4" s="93" t="str">
        <f>IFERROR(__xludf.DUMMYFUNCTION("""COMPUTED_VALUE"""),"LIME")</f>
        <v>LIME</v>
      </c>
      <c r="P4" s="93" t="str">
        <f>IFERROR(__xludf.DUMMYFUNCTION("""COMPUTED_VALUE"""),"Lime")</f>
        <v>Lime</v>
      </c>
      <c r="Q4" s="93" t="str">
        <f>IFERROR(__xludf.DUMMYFUNCTION("""COMPUTED_VALUE"""),"Mosambi")</f>
        <v>Mosambi</v>
      </c>
      <c r="R4" s="93" t="str">
        <f>IFERROR(__xludf.DUMMYFUNCTION("""COMPUTED_VALUE"""),"Fig")</f>
        <v>Fig</v>
      </c>
      <c r="S4" s="93" t="str">
        <f>IFERROR(__xludf.DUMMYFUNCTION("""COMPUTED_VALUE"""),"Fig")</f>
        <v>Fig</v>
      </c>
      <c r="T4" s="93" t="str">
        <f>IFERROR(__xludf.DUMMYFUNCTION("""COMPUTED_VALUE"""),"Fig")</f>
        <v>Fig</v>
      </c>
      <c r="U4" s="93" t="str">
        <f>IFERROR(__xludf.DUMMYFUNCTION("""COMPUTED_VALUE"""),"Custard Apple")</f>
        <v>Custard Apple</v>
      </c>
      <c r="V4" s="93" t="str">
        <f>IFERROR(__xludf.DUMMYFUNCTION("""COMPUTED_VALUE"""),"Custard Apple")</f>
        <v>Custard Apple</v>
      </c>
      <c r="W4" s="93" t="str">
        <f>IFERROR(__xludf.DUMMYFUNCTION("""COMPUTED_VALUE"""),"Bael")</f>
        <v>Bael</v>
      </c>
      <c r="X4" s="93" t="str">
        <f>IFERROR(__xludf.DUMMYFUNCTION("""COMPUTED_VALUE"""),"Bael ")</f>
        <v>Bael </v>
      </c>
      <c r="Y4" s="93" t="str">
        <f>IFERROR(__xludf.DUMMYFUNCTION("""COMPUTED_VALUE"""),"Bael")</f>
        <v>Bael</v>
      </c>
      <c r="Z4" s="93" t="str">
        <f>IFERROR(__xludf.DUMMYFUNCTION("""COMPUTED_VALUE"""),"Bael")</f>
        <v>Bael</v>
      </c>
      <c r="AA4" s="93" t="str">
        <f>IFERROR(__xludf.DUMMYFUNCTION("""COMPUTED_VALUE"""),"Almond")</f>
        <v>Almond</v>
      </c>
      <c r="AB4" s="93" t="str">
        <f>IFERROR(__xludf.DUMMYFUNCTION("""COMPUTED_VALUE"""),"Mulberry")</f>
        <v>Mulberry</v>
      </c>
      <c r="AC4" s="93" t="str">
        <f>IFERROR(__xludf.DUMMYFUNCTION("""COMPUTED_VALUE"""),"Pumelo")</f>
        <v>Pumelo</v>
      </c>
      <c r="AD4" s="93" t="str">
        <f>IFERROR(__xludf.DUMMYFUNCTION("""COMPUTED_VALUE"""),"Pumelo")</f>
        <v>Pumelo</v>
      </c>
      <c r="AE4" s="93" t="str">
        <f>IFERROR(__xludf.DUMMYFUNCTION("""COMPUTED_VALUE"""),"Jamun")</f>
        <v>Jamun</v>
      </c>
      <c r="AF4" s="93" t="str">
        <f>IFERROR(__xludf.DUMMYFUNCTION("""COMPUTED_VALUE"""),"Karonda")</f>
        <v>Karonda</v>
      </c>
      <c r="AG4" s="93" t="str">
        <f>IFERROR(__xludf.DUMMYFUNCTION("""COMPUTED_VALUE"""),"Karonda")</f>
        <v>Karonda</v>
      </c>
      <c r="AH4" s="93" t="str">
        <f>IFERROR(__xludf.DUMMYFUNCTION("""COMPUTED_VALUE"""),"Mango")</f>
        <v>Mango</v>
      </c>
      <c r="AI4" s="93" t="str">
        <f>IFERROR(__xludf.DUMMYFUNCTION("""COMPUTED_VALUE"""),"Drumstick")</f>
        <v>Drumstick</v>
      </c>
      <c r="AJ4" s="93" t="str">
        <f>IFERROR(__xludf.DUMMYFUNCTION("""COMPUTED_VALUE"""),"Starfruit")</f>
        <v>Starfruit</v>
      </c>
      <c r="AK4" s="93" t="str">
        <f>IFERROR(__xludf.DUMMYFUNCTION("""COMPUTED_VALUE"""),"Curry Leaf")</f>
        <v>Curry Leaf</v>
      </c>
      <c r="AL4" s="93" t="str">
        <f>IFERROR(__xludf.DUMMYFUNCTION("""COMPUTED_VALUE"""),"Grape fruit")</f>
        <v>Grape fruit</v>
      </c>
      <c r="AM4" s="93" t="str">
        <f>IFERROR(__xludf.DUMMYFUNCTION("""COMPUTED_VALUE"""),"Lakhsmanphal")</f>
        <v>Lakhsmanphal</v>
      </c>
      <c r="AN4" s="93" t="str">
        <f>IFERROR(__xludf.DUMMYFUNCTION("""COMPUTED_VALUE"""),"Aonla")</f>
        <v>Aonla</v>
      </c>
      <c r="AO4" s="93" t="str">
        <f>IFERROR(__xludf.DUMMYFUNCTION("""COMPUTED_VALUE"""),"Wax Apple")</f>
        <v>Wax Apple</v>
      </c>
      <c r="AP4" s="93" t="str">
        <f>IFERROR(__xludf.DUMMYFUNCTION("""COMPUTED_VALUE"""),"Dragon fruit")</f>
        <v>Dragon fruit</v>
      </c>
      <c r="AQ4" s="93" t="str">
        <f>IFERROR(__xludf.DUMMYFUNCTION("""COMPUTED_VALUE"""),"Dragon Fruit")</f>
        <v>Dragon Fruit</v>
      </c>
      <c r="AR4" s="93" t="str">
        <f>IFERROR(__xludf.DUMMYFUNCTION("""COMPUTED_VALUE"""),"PASSION FRUIT")</f>
        <v>PASSION FRUIT</v>
      </c>
      <c r="AS4" s="91" t="str">
        <f>IFERROR(__xludf.DUMMYFUNCTION("""COMPUTED_VALUE"""),"TENTETIVE DELIVERY DATE")</f>
        <v>TENTETIVE DELIVERY DATE</v>
      </c>
      <c r="AT4" s="91" t="str">
        <f>IFERROR(__xludf.DUMMYFUNCTION("""COMPUTED_VALUE"""),"Bookin @ ")</f>
        <v>Bookin @ </v>
      </c>
      <c r="AU4" s="91" t="str">
        <f>IFERROR(__xludf.DUMMYFUNCTION("""COMPUTED_VALUE"""),"Amount Deposited")</f>
        <v>Amount Deposited</v>
      </c>
      <c r="AV4" s="91" t="str">
        <f>IFERROR(__xludf.DUMMYFUNCTION("""COMPUTED_VALUE"""),"Balance")</f>
        <v>Balance</v>
      </c>
      <c r="AW4" s="91"/>
      <c r="AX4" s="91"/>
      <c r="AY4" s="91"/>
      <c r="AZ4" s="91"/>
      <c r="BA4" s="91"/>
      <c r="BB4" s="91"/>
    </row>
    <row r="5">
      <c r="A5" s="93"/>
      <c r="B5" s="93"/>
      <c r="C5" s="93"/>
      <c r="D5" s="93"/>
      <c r="E5" s="93"/>
      <c r="F5" s="93"/>
      <c r="G5" s="94"/>
      <c r="H5" s="93"/>
      <c r="I5" s="93" t="str">
        <f>IFERROR(__xludf.DUMMYFUNCTION("""COMPUTED_VALUE"""),"Apple Ber")</f>
        <v>Apple Ber</v>
      </c>
      <c r="J5" s="93" t="str">
        <f>IFERROR(__xludf.DUMMYFUNCTION("""COMPUTED_VALUE"""),"JACK E")</f>
        <v>JACK E</v>
      </c>
      <c r="K5" s="93" t="str">
        <f>IFERROR(__xludf.DUMMYFUNCTION("""COMPUTED_VALUE"""),"VNR KATHAL")</f>
        <v>VNR KATHAL</v>
      </c>
      <c r="L5" s="93" t="str">
        <f>IFERROR(__xludf.DUMMYFUNCTION("""COMPUTED_VALUE"""),"Konkan Lemon")</f>
        <v>Konkan Lemon</v>
      </c>
      <c r="M5" s="93"/>
      <c r="N5" s="93" t="str">
        <f>IFERROR(__xludf.DUMMYFUNCTION("""COMPUTED_VALUE"""),"BALAJI")</f>
        <v>BALAJI</v>
      </c>
      <c r="O5" s="93" t="str">
        <f>IFERROR(__xludf.DUMMYFUNCTION("""COMPUTED_VALUE"""),"VNR 1")</f>
        <v>VNR 1</v>
      </c>
      <c r="P5" s="93" t="str">
        <f>IFERROR(__xludf.DUMMYFUNCTION("""COMPUTED_VALUE"""),"VNR Rasvanti")</f>
        <v>VNR Rasvanti</v>
      </c>
      <c r="Q5" s="93" t="str">
        <f>IFERROR(__xludf.DUMMYFUNCTION("""COMPUTED_VALUE"""),"Nuceller")</f>
        <v>Nuceller</v>
      </c>
      <c r="R5" s="93" t="str">
        <f>IFERROR(__xludf.DUMMYFUNCTION("""COMPUTED_VALUE"""),"Excel")</f>
        <v>Excel</v>
      </c>
      <c r="S5" s="93" t="str">
        <f>IFERROR(__xludf.DUMMYFUNCTION("""COMPUTED_VALUE"""),"Daulatabad")</f>
        <v>Daulatabad</v>
      </c>
      <c r="T5" s="93" t="str">
        <f>IFERROR(__xludf.DUMMYFUNCTION("""COMPUTED_VALUE"""),"Deanna")</f>
        <v>Deanna</v>
      </c>
      <c r="U5" s="93" t="str">
        <f>IFERROR(__xludf.DUMMYFUNCTION("""COMPUTED_VALUE"""),"VNR Madhur")</f>
        <v>VNR Madhur</v>
      </c>
      <c r="V5" s="93" t="str">
        <f>IFERROR(__xludf.DUMMYFUNCTION("""COMPUTED_VALUE"""),"Pollinizer")</f>
        <v>Pollinizer</v>
      </c>
      <c r="W5" s="93" t="str">
        <f>IFERROR(__xludf.DUMMYFUNCTION("""COMPUTED_VALUE"""),"NB-9")</f>
        <v>NB-9</v>
      </c>
      <c r="X5" s="93" t="str">
        <f>IFERROR(__xludf.DUMMYFUNCTION("""COMPUTED_VALUE"""),"NB-7")</f>
        <v>NB-7</v>
      </c>
      <c r="Y5" s="93" t="str">
        <f>IFERROR(__xludf.DUMMYFUNCTION("""COMPUTED_VALUE"""),"B-1-CISH")</f>
        <v>B-1-CISH</v>
      </c>
      <c r="Z5" s="93" t="str">
        <f>IFERROR(__xludf.DUMMYFUNCTION("""COMPUTED_VALUE"""),"Goma Yashi")</f>
        <v>Goma Yashi</v>
      </c>
      <c r="AA5" s="93"/>
      <c r="AB5" s="93" t="str">
        <f>IFERROR(__xludf.DUMMYFUNCTION("""COMPUTED_VALUE"""),"Long Purple")</f>
        <v>Long Purple</v>
      </c>
      <c r="AC5" s="93" t="str">
        <f>IFERROR(__xludf.DUMMYFUNCTION("""COMPUTED_VALUE"""),"VNR Crystal")</f>
        <v>VNR Crystal</v>
      </c>
      <c r="AD5" s="93" t="str">
        <f>IFERROR(__xludf.DUMMYFUNCTION("""COMPUTED_VALUE"""),"VNR Amber")</f>
        <v>VNR Amber</v>
      </c>
      <c r="AE5" s="93" t="str">
        <f>IFERROR(__xludf.DUMMYFUNCTION("""COMPUTED_VALUE"""),"Goma Priyanka")</f>
        <v>Goma Priyanka</v>
      </c>
      <c r="AF5" s="93" t="str">
        <f>IFERROR(__xludf.DUMMYFUNCTION("""COMPUTED_VALUE"""),"Americana")</f>
        <v>Americana</v>
      </c>
      <c r="AG5" s="93" t="str">
        <f>IFERROR(__xludf.DUMMYFUNCTION("""COMPUTED_VALUE"""),"VNR-1")</f>
        <v>VNR-1</v>
      </c>
      <c r="AH5" s="93"/>
      <c r="AI5" s="93" t="str">
        <f>IFERROR(__xludf.DUMMYFUNCTION("""COMPUTED_VALUE"""),"VNR Moringa")</f>
        <v>VNR Moringa</v>
      </c>
      <c r="AJ5" s="93" t="str">
        <f>IFERROR(__xludf.DUMMYFUNCTION("""COMPUTED_VALUE"""),"VNR Naval")</f>
        <v>VNR Naval</v>
      </c>
      <c r="AK5" s="93" t="str">
        <f>IFERROR(__xludf.DUMMYFUNCTION("""COMPUTED_VALUE"""),"DWD-2")</f>
        <v>DWD-2</v>
      </c>
      <c r="AL5" s="93" t="str">
        <f>IFERROR(__xludf.DUMMYFUNCTION("""COMPUTED_VALUE"""),"VNR Lali")</f>
        <v>VNR Lali</v>
      </c>
      <c r="AM5" s="93" t="str">
        <f>IFERROR(__xludf.DUMMYFUNCTION("""COMPUTED_VALUE"""),"VNR Uttam")</f>
        <v>VNR Uttam</v>
      </c>
      <c r="AN5" s="93" t="str">
        <f>IFERROR(__xludf.DUMMYFUNCTION("""COMPUTED_VALUE"""),"Krishna")</f>
        <v>Krishna</v>
      </c>
      <c r="AO5" s="93" t="str">
        <f>IFERROR(__xludf.DUMMYFUNCTION("""COMPUTED_VALUE"""),"VNR Maroon")</f>
        <v>VNR Maroon</v>
      </c>
      <c r="AP5" s="93" t="str">
        <f>IFERROR(__xludf.DUMMYFUNCTION("""COMPUTED_VALUE"""),"Pink")</f>
        <v>Pink</v>
      </c>
      <c r="AQ5" s="93" t="str">
        <f>IFERROR(__xludf.DUMMYFUNCTION("""COMPUTED_VALUE"""),"White")</f>
        <v>White</v>
      </c>
      <c r="AR5" s="93"/>
      <c r="AS5" s="91"/>
      <c r="AT5" s="91"/>
      <c r="AU5" s="91"/>
      <c r="AV5" s="91"/>
      <c r="AW5" s="91"/>
      <c r="AX5" s="91"/>
      <c r="AY5" s="91"/>
      <c r="AZ5" s="91"/>
      <c r="BA5" s="91"/>
      <c r="BB5" s="91"/>
    </row>
    <row r="6">
      <c r="A6" s="67">
        <f>IFERROR(__xludf.DUMMYFUNCTION("""COMPUTED_VALUE"""),1.0)</f>
        <v>1</v>
      </c>
      <c r="B6" s="67" t="str">
        <f>IFERROR(__xludf.DUMMYFUNCTION("""COMPUTED_VALUE"""),"BHRUGU PRASAD BAG")</f>
        <v>BHRUGU PRASAD BAG</v>
      </c>
      <c r="C6" s="95" t="str">
        <f>IFERROR(__xludf.DUMMYFUNCTION("""COMPUTED_VALUE"""),"6371765213/ 9437430910")</f>
        <v>6371765213/ 9437430910</v>
      </c>
      <c r="D6" s="67" t="str">
        <f>IFERROR(__xludf.DUMMYFUNCTION("""COMPUTED_VALUE"""),"VILL: TUSURA, POST &amp; TAL: TUSURA, BALANGIR")</f>
        <v>VILL: TUSURA, POST &amp; TAL: TUSURA, BALANGIR</v>
      </c>
      <c r="E6" s="67" t="str">
        <f>IFERROR(__xludf.DUMMYFUNCTION("""COMPUTED_VALUE"""),"BALANGIR")</f>
        <v>BALANGIR</v>
      </c>
      <c r="F6" s="67" t="str">
        <f>IFERROR(__xludf.DUMMYFUNCTION("""COMPUTED_VALUE"""),"OD")</f>
        <v>OD</v>
      </c>
      <c r="G6" s="96" t="str">
        <f>IFERROR(__xludf.DUMMYFUNCTION("""COMPUTED_VALUE"""),"19-03-19/     30-03-19")</f>
        <v>19-03-19/     30-03-19</v>
      </c>
      <c r="H6" s="67">
        <f>IFERROR(__xludf.DUMMYFUNCTION("""COMPUTED_VALUE"""),235.0)</f>
        <v>235</v>
      </c>
      <c r="I6" s="67">
        <f>IFERROR(__xludf.DUMMYFUNCTION("""COMPUTED_VALUE"""),50.0)</f>
        <v>50</v>
      </c>
      <c r="J6" s="67">
        <f>IFERROR(__xludf.DUMMYFUNCTION("""COMPUTED_VALUE"""),5.0)</f>
        <v>5</v>
      </c>
      <c r="K6" s="67"/>
      <c r="L6" s="67">
        <f>IFERROR(__xludf.DUMMYFUNCTION("""COMPUTED_VALUE"""),50.0)</f>
        <v>50</v>
      </c>
      <c r="M6" s="67"/>
      <c r="N6" s="67"/>
      <c r="O6" s="67"/>
      <c r="P6" s="67"/>
      <c r="Q6" s="67">
        <f>IFERROR(__xludf.DUMMYFUNCTION("""COMPUTED_VALUE"""),50.0)</f>
        <v>50</v>
      </c>
      <c r="R6" s="67"/>
      <c r="S6" s="67"/>
      <c r="T6" s="67">
        <f>IFERROR(__xludf.DUMMYFUNCTION("""COMPUTED_VALUE"""),50.0)</f>
        <v>50</v>
      </c>
      <c r="U6" s="67"/>
      <c r="V6" s="67"/>
      <c r="W6" s="67"/>
      <c r="X6" s="67"/>
      <c r="Y6" s="67"/>
      <c r="Z6" s="67">
        <f>IFERROR(__xludf.DUMMYFUNCTION("""COMPUTED_VALUE"""),5.0)</f>
        <v>5</v>
      </c>
      <c r="AA6" s="67"/>
      <c r="AB6" s="67">
        <f>IFERROR(__xludf.DUMMYFUNCTION("""COMPUTED_VALUE"""),20.0)</f>
        <v>20</v>
      </c>
      <c r="AC6" s="67"/>
      <c r="AD6" s="67"/>
      <c r="AE6" s="67">
        <f>IFERROR(__xludf.DUMMYFUNCTION("""COMPUTED_VALUE"""),5.0)</f>
        <v>5</v>
      </c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97"/>
      <c r="AT6" s="97"/>
      <c r="AU6" s="97"/>
      <c r="AV6" s="97"/>
      <c r="AW6" s="97"/>
      <c r="AX6" s="97"/>
      <c r="AY6" s="97"/>
      <c r="AZ6" s="97"/>
      <c r="BA6" s="97"/>
      <c r="BB6" s="97"/>
    </row>
    <row r="7">
      <c r="A7" s="67">
        <f>IFERROR(__xludf.DUMMYFUNCTION("""COMPUTED_VALUE"""),2.0)</f>
        <v>2</v>
      </c>
      <c r="B7" s="67" t="str">
        <f>IFERROR(__xludf.DUMMYFUNCTION("""COMPUTED_VALUE"""),"BALASAHEB HARIBHAU PARANDE")</f>
        <v>BALASAHEB HARIBHAU PARANDE</v>
      </c>
      <c r="C7" s="95">
        <f>IFERROR(__xludf.DUMMYFUNCTION("""COMPUTED_VALUE"""),8.888918852E9)</f>
        <v>8888918852</v>
      </c>
      <c r="D7" s="67" t="str">
        <f>IFERROR(__xludf.DUMMYFUNCTION("""COMPUTED_VALUE"""),"VILL: LASINA, POST: SONPETH, TAL: SONPETH")</f>
        <v>VILL: LASINA, POST: SONPETH, TAL: SONPETH</v>
      </c>
      <c r="E7" s="67" t="str">
        <f>IFERROR(__xludf.DUMMYFUNCTION("""COMPUTED_VALUE"""),"PARBHANI")</f>
        <v>PARBHANI</v>
      </c>
      <c r="F7" s="67" t="str">
        <f>IFERROR(__xludf.DUMMYFUNCTION("""COMPUTED_VALUE"""),"MP")</f>
        <v>MP</v>
      </c>
      <c r="G7" s="96" t="str">
        <f>IFERROR(__xludf.DUMMYFUNCTION("""COMPUTED_VALUE"""),"08.06.21/ 19.06.21")</f>
        <v>08.06.21/ 19.06.21</v>
      </c>
      <c r="H7" s="67">
        <f>IFERROR(__xludf.DUMMYFUNCTION("""COMPUTED_VALUE"""),310.0)</f>
        <v>310</v>
      </c>
      <c r="I7" s="67"/>
      <c r="J7" s="67"/>
      <c r="K7" s="67"/>
      <c r="L7" s="67"/>
      <c r="M7" s="67"/>
      <c r="N7" s="67"/>
      <c r="O7" s="67"/>
      <c r="P7" s="67"/>
      <c r="Q7" s="67">
        <f>IFERROR(__xludf.DUMMYFUNCTION("""COMPUTED_VALUE"""),310.0)</f>
        <v>310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97"/>
      <c r="AT7" s="97"/>
      <c r="AU7" s="97"/>
      <c r="AV7" s="97"/>
      <c r="AW7" s="97"/>
      <c r="AX7" s="97"/>
      <c r="AY7" s="97"/>
      <c r="AZ7" s="97"/>
      <c r="BA7" s="97"/>
      <c r="BB7" s="97"/>
    </row>
    <row r="8">
      <c r="A8" s="67">
        <f>IFERROR(__xludf.DUMMYFUNCTION("""COMPUTED_VALUE"""),3.0)</f>
        <v>3</v>
      </c>
      <c r="B8" s="67" t="str">
        <f>IFERROR(__xludf.DUMMYFUNCTION("""COMPUTED_VALUE"""),"ASS. DIRECTOR HORTICULTURE JAMUI")</f>
        <v>ASS. DIRECTOR HORTICULTURE JAMUI</v>
      </c>
      <c r="C8" s="95">
        <f>IFERROR(__xludf.DUMMYFUNCTION("""COMPUTED_VALUE"""),7.903930116E9)</f>
        <v>7903930116</v>
      </c>
      <c r="D8" s="67" t="str">
        <f>IFERROR(__xludf.DUMMYFUNCTION("""COMPUTED_VALUE"""),"AT: BIHAR HORTICULTURE DEVELOPMENT, JAMUI")</f>
        <v>AT: BIHAR HORTICULTURE DEVELOPMENT, JAMUI</v>
      </c>
      <c r="E8" s="67" t="str">
        <f>IFERROR(__xludf.DUMMYFUNCTION("""COMPUTED_VALUE"""),"JAMUI")</f>
        <v>JAMUI</v>
      </c>
      <c r="F8" s="67" t="str">
        <f>IFERROR(__xludf.DUMMYFUNCTION("""COMPUTED_VALUE"""),"BR")</f>
        <v>BR</v>
      </c>
      <c r="G8" s="96" t="str">
        <f>IFERROR(__xludf.DUMMYFUNCTION("""COMPUTED_VALUE"""),"15.07.21")</f>
        <v>15.07.21</v>
      </c>
      <c r="H8" s="67">
        <f>IFERROR(__xludf.DUMMYFUNCTION("""COMPUTED_VALUE"""),500.0)</f>
        <v>500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>
        <f>IFERROR(__xludf.DUMMYFUNCTION("""COMPUTED_VALUE"""),500.0)</f>
        <v>500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97"/>
      <c r="AT8" s="97"/>
      <c r="AU8" s="97"/>
      <c r="AV8" s="97"/>
      <c r="AW8" s="97"/>
      <c r="AX8" s="97"/>
      <c r="AY8" s="97"/>
      <c r="AZ8" s="97"/>
      <c r="BA8" s="97"/>
      <c r="BB8" s="97"/>
    </row>
    <row r="9">
      <c r="A9" s="67">
        <f>IFERROR(__xludf.DUMMYFUNCTION("""COMPUTED_VALUE"""),4.0)</f>
        <v>4</v>
      </c>
      <c r="B9" s="67" t="str">
        <f>IFERROR(__xludf.DUMMYFUNCTION("""COMPUTED_VALUE"""),"DEVENDRA PANDA")</f>
        <v>DEVENDRA PANDA</v>
      </c>
      <c r="C9" s="95">
        <f>IFERROR(__xludf.DUMMYFUNCTION("""COMPUTED_VALUE"""),9.993855524E9)</f>
        <v>9993855524</v>
      </c>
      <c r="D9" s="67" t="str">
        <f>IFERROR(__xludf.DUMMYFUNCTION("""COMPUTED_VALUE"""),"AT: 236, SUNDAR NAGAR, RAIPUR ")</f>
        <v>AT: 236, SUNDAR NAGAR, RAIPUR </v>
      </c>
      <c r="E9" s="67" t="str">
        <f>IFERROR(__xludf.DUMMYFUNCTION("""COMPUTED_VALUE"""),"RAIPUR")</f>
        <v>RAIPUR</v>
      </c>
      <c r="F9" s="67" t="str">
        <f>IFERROR(__xludf.DUMMYFUNCTION("""COMPUTED_VALUE"""),"CG")</f>
        <v>CG</v>
      </c>
      <c r="G9" s="96" t="str">
        <f>IFERROR(__xludf.DUMMYFUNCTION("""COMPUTED_VALUE"""),"18.10.21")</f>
        <v>18.10.21</v>
      </c>
      <c r="H9" s="67">
        <f>IFERROR(__xludf.DUMMYFUNCTION("""COMPUTED_VALUE"""),580.0)</f>
        <v>580</v>
      </c>
      <c r="I9" s="67"/>
      <c r="J9" s="67">
        <f>IFERROR(__xludf.DUMMYFUNCTION("""COMPUTED_VALUE"""),500.0)</f>
        <v>500</v>
      </c>
      <c r="K9" s="67"/>
      <c r="L9" s="67"/>
      <c r="M9" s="67"/>
      <c r="N9" s="67"/>
      <c r="O9" s="67"/>
      <c r="P9" s="67">
        <f>IFERROR(__xludf.DUMMYFUNCTION("""COMPUTED_VALUE"""),80.0)</f>
        <v>80</v>
      </c>
      <c r="Q9" s="67">
        <f>IFERROR(__xludf.DUMMYFUNCTION("""COMPUTED_VALUE"""),40.0)</f>
        <v>40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97"/>
      <c r="AT9" s="97"/>
      <c r="AU9" s="97"/>
      <c r="AV9" s="97"/>
      <c r="AW9" s="97"/>
      <c r="AX9" s="97"/>
      <c r="AY9" s="97"/>
      <c r="AZ9" s="97"/>
      <c r="BA9" s="97"/>
      <c r="BB9" s="97"/>
    </row>
    <row r="10">
      <c r="A10" s="67">
        <f>IFERROR(__xludf.DUMMYFUNCTION("""COMPUTED_VALUE"""),5.0)</f>
        <v>5</v>
      </c>
      <c r="B10" s="67" t="str">
        <f>IFERROR(__xludf.DUMMYFUNCTION("""COMPUTED_VALUE"""),"NIILENDRA SINGH")</f>
        <v>NIILENDRA SINGH</v>
      </c>
      <c r="C10" s="95">
        <f>IFERROR(__xludf.DUMMYFUNCTION("""COMPUTED_VALUE"""),7.458834343E9)</f>
        <v>7458834343</v>
      </c>
      <c r="D10" s="67" t="str">
        <f>IFERROR(__xludf.DUMMYFUNCTION("""COMPUTED_VALUE"""),"VILL: PAHLAWARA- SHANTI LODGE, POST: BALRAMPUR, TAL: BALRAMPUR")</f>
        <v>VILL: PAHLAWARA- SHANTI LODGE, POST: BALRAMPUR, TAL: BALRAMPUR</v>
      </c>
      <c r="E10" s="67" t="str">
        <f>IFERROR(__xludf.DUMMYFUNCTION("""COMPUTED_VALUE"""),"BALRAMPUR")</f>
        <v>BALRAMPUR</v>
      </c>
      <c r="F10" s="67" t="str">
        <f>IFERROR(__xludf.DUMMYFUNCTION("""COMPUTED_VALUE"""),"MH")</f>
        <v>MH</v>
      </c>
      <c r="G10" s="96" t="str">
        <f>IFERROR(__xludf.DUMMYFUNCTION("""COMPUTED_VALUE"""),"07.03.22")</f>
        <v>07.03.22</v>
      </c>
      <c r="H10" s="67">
        <f>IFERROR(__xludf.DUMMYFUNCTION("""COMPUTED_VALUE"""),205.0)</f>
        <v>205</v>
      </c>
      <c r="I10" s="67"/>
      <c r="J10" s="67"/>
      <c r="K10" s="67"/>
      <c r="L10" s="67"/>
      <c r="M10" s="67"/>
      <c r="N10" s="67"/>
      <c r="O10" s="67"/>
      <c r="P10" s="67">
        <f>IFERROR(__xludf.DUMMYFUNCTION("""COMPUTED_VALUE"""),100.0)</f>
        <v>100</v>
      </c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>
        <f>IFERROR(__xludf.DUMMYFUNCTION("""COMPUTED_VALUE"""),5.0)</f>
        <v>5</v>
      </c>
      <c r="AF10" s="67">
        <f>IFERROR(__xludf.DUMMYFUNCTION("""COMPUTED_VALUE"""),100.0)</f>
        <v>100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97"/>
      <c r="AT10" s="97"/>
      <c r="AU10" s="97"/>
      <c r="AV10" s="97"/>
      <c r="AW10" s="97"/>
      <c r="AX10" s="97"/>
      <c r="AY10" s="97"/>
      <c r="AZ10" s="97"/>
      <c r="BA10" s="97"/>
      <c r="BB10" s="97"/>
    </row>
    <row r="11">
      <c r="A11" s="67">
        <f>IFERROR(__xludf.DUMMYFUNCTION("""COMPUTED_VALUE"""),6.0)</f>
        <v>6</v>
      </c>
      <c r="B11" s="67" t="str">
        <f>IFERROR(__xludf.DUMMYFUNCTION("""COMPUTED_VALUE"""),"AJAY KELA")</f>
        <v>AJAY KELA</v>
      </c>
      <c r="C11" s="95">
        <f>IFERROR(__xludf.DUMMYFUNCTION("""COMPUTED_VALUE"""),9.30181219E9)</f>
        <v>9301812190</v>
      </c>
      <c r="D11" s="67" t="str">
        <f>IFERROR(__xludf.DUMMYFUNCTION("""COMPUTED_VALUE"""),"AT: BHAKHRA WORD NO 2, TAL: BHAKHARA")</f>
        <v>AT: BHAKHRA WORD NO 2, TAL: BHAKHARA</v>
      </c>
      <c r="E11" s="67" t="str">
        <f>IFERROR(__xludf.DUMMYFUNCTION("""COMPUTED_VALUE"""),"DHAMTARI")</f>
        <v>DHAMTARI</v>
      </c>
      <c r="F11" s="67" t="str">
        <f>IFERROR(__xludf.DUMMYFUNCTION("""COMPUTED_VALUE"""),"CG")</f>
        <v>CG</v>
      </c>
      <c r="G11" s="96" t="str">
        <f>IFERROR(__xludf.DUMMYFUNCTION("""COMPUTED_VALUE"""),"14.04.22")</f>
        <v>14.04.22</v>
      </c>
      <c r="H11" s="67">
        <f>IFERROR(__xludf.DUMMYFUNCTION("""COMPUTED_VALUE"""),155.0)</f>
        <v>155</v>
      </c>
      <c r="I11" s="67"/>
      <c r="J11" s="67"/>
      <c r="K11" s="67"/>
      <c r="L11" s="67"/>
      <c r="M11" s="67"/>
      <c r="N11" s="67"/>
      <c r="O11" s="67"/>
      <c r="P11" s="67">
        <f>IFERROR(__xludf.DUMMYFUNCTION("""COMPUTED_VALUE"""),150.0)</f>
        <v>150</v>
      </c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>
        <f>IFERROR(__xludf.DUMMYFUNCTION("""COMPUTED_VALUE"""),5.0)</f>
        <v>5</v>
      </c>
      <c r="AK11" s="67"/>
      <c r="AL11" s="67"/>
      <c r="AM11" s="67"/>
      <c r="AN11" s="67"/>
      <c r="AO11" s="67"/>
      <c r="AP11" s="67"/>
      <c r="AQ11" s="67"/>
      <c r="AR11" s="67"/>
      <c r="AS11" s="97"/>
      <c r="AT11" s="97"/>
      <c r="AU11" s="97"/>
      <c r="AV11" s="97"/>
      <c r="AW11" s="97"/>
      <c r="AX11" s="97"/>
      <c r="AY11" s="97"/>
      <c r="AZ11" s="97"/>
      <c r="BA11" s="97"/>
      <c r="BB11" s="97"/>
    </row>
    <row r="12">
      <c r="A12" s="67">
        <f>IFERROR(__xludf.DUMMYFUNCTION("""COMPUTED_VALUE"""),7.0)</f>
        <v>7</v>
      </c>
      <c r="B12" s="67" t="str">
        <f>IFERROR(__xludf.DUMMYFUNCTION("""COMPUTED_VALUE"""),"SHANKAR BHAI BHIKHABHAI PATEL")</f>
        <v>SHANKAR BHAI BHIKHABHAI PATEL</v>
      </c>
      <c r="C12" s="95">
        <f>IFERROR(__xludf.DUMMYFUNCTION("""COMPUTED_VALUE"""),9.909900381E9)</f>
        <v>9909900381</v>
      </c>
      <c r="D12" s="67" t="str">
        <f>IFERROR(__xludf.DUMMYFUNCTION("""COMPUTED_VALUE"""),"AT: 5 KUVARIKA SOCIETY , OPP. CHHABILA  HANUMAN , BUS STANDROAD, PATAN")</f>
        <v>AT: 5 KUVARIKA SOCIETY , OPP. CHHABILA  HANUMAN , BUS STANDROAD, PATAN</v>
      </c>
      <c r="E12" s="67" t="str">
        <f>IFERROR(__xludf.DUMMYFUNCTION("""COMPUTED_VALUE"""),"PATAN")</f>
        <v>PATAN</v>
      </c>
      <c r="F12" s="67" t="str">
        <f>IFERROR(__xludf.DUMMYFUNCTION("""COMPUTED_VALUE"""),"GJ")</f>
        <v>GJ</v>
      </c>
      <c r="G12" s="96" t="str">
        <f>IFERROR(__xludf.DUMMYFUNCTION("""COMPUTED_VALUE"""),"22.06.22")</f>
        <v>22.06.22</v>
      </c>
      <c r="H12" s="67">
        <f>IFERROR(__xludf.DUMMYFUNCTION("""COMPUTED_VALUE"""),20.0)</f>
        <v>20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>
        <f>IFERROR(__xludf.DUMMYFUNCTION("""COMPUTED_VALUE"""),20.0)</f>
        <v>20</v>
      </c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97"/>
      <c r="AT12" s="97"/>
      <c r="AU12" s="97"/>
      <c r="AV12" s="97"/>
      <c r="AW12" s="97"/>
      <c r="AX12" s="97"/>
      <c r="AY12" s="97"/>
      <c r="AZ12" s="97"/>
      <c r="BA12" s="97"/>
      <c r="BB12" s="97"/>
    </row>
    <row r="13">
      <c r="A13" s="67">
        <f>IFERROR(__xludf.DUMMYFUNCTION("""COMPUTED_VALUE"""),8.0)</f>
        <v>8</v>
      </c>
      <c r="B13" s="67" t="str">
        <f>IFERROR(__xludf.DUMMYFUNCTION("""COMPUTED_VALUE"""),"P V MANJUNATH")</f>
        <v>P V MANJUNATH</v>
      </c>
      <c r="C13" s="95">
        <f>IFERROR(__xludf.DUMMYFUNCTION("""COMPUTED_VALUE"""),8.884637335E9)</f>
        <v>8884637335</v>
      </c>
      <c r="D13" s="67" t="str">
        <f>IFERROR(__xludf.DUMMYFUNCTION("""COMPUTED_VALUE"""),"VILL: KADUMUCHENDE, POST: SALIVARM, TAL: DENKANIKOTTAM")</f>
        <v>VILL: KADUMUCHENDE, POST: SALIVARM, TAL: DENKANIKOTTAM</v>
      </c>
      <c r="E13" s="67" t="str">
        <f>IFERROR(__xludf.DUMMYFUNCTION("""COMPUTED_VALUE"""),"KRISHNAGIRI")</f>
        <v>KRISHNAGIRI</v>
      </c>
      <c r="F13" s="67" t="str">
        <f>IFERROR(__xludf.DUMMYFUNCTION("""COMPUTED_VALUE"""),"TN")</f>
        <v>TN</v>
      </c>
      <c r="G13" s="96" t="str">
        <f>IFERROR(__xludf.DUMMYFUNCTION("""COMPUTED_VALUE"""),"26.06.22")</f>
        <v>26.06.22</v>
      </c>
      <c r="H13" s="67">
        <f>IFERROR(__xludf.DUMMYFUNCTION("""COMPUTED_VALUE"""),535.0)</f>
        <v>535</v>
      </c>
      <c r="I13" s="67">
        <f>IFERROR(__xludf.DUMMYFUNCTION("""COMPUTED_VALUE"""),40.0)</f>
        <v>40</v>
      </c>
      <c r="J13" s="67"/>
      <c r="K13" s="67"/>
      <c r="L13" s="67"/>
      <c r="M13" s="67"/>
      <c r="N13" s="67">
        <f>IFERROR(__xludf.DUMMYFUNCTION("""COMPUTED_VALUE"""),100.0)</f>
        <v>100</v>
      </c>
      <c r="O13" s="67"/>
      <c r="P13" s="67"/>
      <c r="Q13" s="67"/>
      <c r="R13" s="67"/>
      <c r="S13" s="67"/>
      <c r="T13" s="67"/>
      <c r="U13" s="67">
        <f>IFERROR(__xludf.DUMMYFUNCTION("""COMPUTED_VALUE"""),250.0)</f>
        <v>250</v>
      </c>
      <c r="V13" s="67"/>
      <c r="W13" s="67"/>
      <c r="X13" s="67"/>
      <c r="Y13" s="67"/>
      <c r="Z13" s="67"/>
      <c r="AA13" s="67">
        <f>IFERROR(__xludf.DUMMYFUNCTION("""COMPUTED_VALUE"""),10.0)</f>
        <v>10</v>
      </c>
      <c r="AB13" s="67">
        <f>IFERROR(__xludf.DUMMYFUNCTION("""COMPUTED_VALUE"""),100.0)</f>
        <v>100</v>
      </c>
      <c r="AC13" s="67"/>
      <c r="AD13" s="67"/>
      <c r="AE13" s="67"/>
      <c r="AF13" s="67"/>
      <c r="AG13" s="67"/>
      <c r="AH13" s="67"/>
      <c r="AI13" s="67"/>
      <c r="AJ13" s="67">
        <f>IFERROR(__xludf.DUMMYFUNCTION("""COMPUTED_VALUE"""),15.0)</f>
        <v>15</v>
      </c>
      <c r="AK13" s="67"/>
      <c r="AL13" s="67"/>
      <c r="AM13" s="67"/>
      <c r="AN13" s="67">
        <f>IFERROR(__xludf.DUMMYFUNCTION("""COMPUTED_VALUE"""),20.0)</f>
        <v>20</v>
      </c>
      <c r="AO13" s="67"/>
      <c r="AP13" s="67"/>
      <c r="AQ13" s="67"/>
      <c r="AR13" s="67"/>
      <c r="AS13" s="97"/>
      <c r="AT13" s="97"/>
      <c r="AU13" s="97"/>
      <c r="AV13" s="97"/>
      <c r="AW13" s="97"/>
      <c r="AX13" s="97"/>
      <c r="AY13" s="97"/>
      <c r="AZ13" s="97"/>
      <c r="BA13" s="97"/>
      <c r="BB13" s="97"/>
    </row>
    <row r="14">
      <c r="A14" s="67">
        <f>IFERROR(__xludf.DUMMYFUNCTION("""COMPUTED_VALUE"""),9.0)</f>
        <v>9</v>
      </c>
      <c r="B14" s="67" t="str">
        <f>IFERROR(__xludf.DUMMYFUNCTION("""COMPUTED_VALUE"""),"RAJENDRA RATHI")</f>
        <v>RAJENDRA RATHI</v>
      </c>
      <c r="C14" s="95">
        <f>IFERROR(__xludf.DUMMYFUNCTION("""COMPUTED_VALUE"""),8.435505707E9)</f>
        <v>8435505707</v>
      </c>
      <c r="D14" s="67" t="str">
        <f>IFERROR(__xludf.DUMMYFUNCTION("""COMPUTED_VALUE"""),"VILL: CHIKHALAKASA, POST: DALLIRAJHARA, TAL:")</f>
        <v>VILL: CHIKHALAKASA, POST: DALLIRAJHARA, TAL:</v>
      </c>
      <c r="E14" s="67" t="str">
        <f>IFERROR(__xludf.DUMMYFUNCTION("""COMPUTED_VALUE"""),"BALOD")</f>
        <v>BALOD</v>
      </c>
      <c r="F14" s="67" t="str">
        <f>IFERROR(__xludf.DUMMYFUNCTION("""COMPUTED_VALUE"""),"CG")</f>
        <v>CG</v>
      </c>
      <c r="G14" s="96" t="str">
        <f>IFERROR(__xludf.DUMMYFUNCTION("""COMPUTED_VALUE"""),"29.07.22")</f>
        <v>29.07.22</v>
      </c>
      <c r="H14" s="67">
        <f>IFERROR(__xludf.DUMMYFUNCTION("""COMPUTED_VALUE"""),100.0)</f>
        <v>100</v>
      </c>
      <c r="I14" s="67"/>
      <c r="J14" s="67"/>
      <c r="K14" s="67"/>
      <c r="L14" s="67"/>
      <c r="M14" s="67"/>
      <c r="N14" s="67"/>
      <c r="O14" s="67"/>
      <c r="P14" s="67"/>
      <c r="Q14" s="67">
        <f>IFERROR(__xludf.DUMMYFUNCTION("""COMPUTED_VALUE"""),100.0)</f>
        <v>100</v>
      </c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97"/>
      <c r="AT14" s="97"/>
      <c r="AU14" s="97"/>
      <c r="AV14" s="97"/>
      <c r="AW14" s="97"/>
      <c r="AX14" s="97"/>
      <c r="AY14" s="97"/>
      <c r="AZ14" s="97"/>
      <c r="BA14" s="97"/>
      <c r="BB14" s="97"/>
    </row>
    <row r="15">
      <c r="A15" s="67">
        <f>IFERROR(__xludf.DUMMYFUNCTION("""COMPUTED_VALUE"""),10.0)</f>
        <v>10</v>
      </c>
      <c r="B15" s="67" t="str">
        <f>IFERROR(__xludf.DUMMYFUNCTION("""COMPUTED_VALUE"""),"VAZIR SINGH LOHAN")</f>
        <v>VAZIR SINGH LOHAN</v>
      </c>
      <c r="C15" s="95">
        <f>IFERROR(__xludf.DUMMYFUNCTION("""COMPUTED_VALUE"""),9.329367001E9)</f>
        <v>9329367001</v>
      </c>
      <c r="D15" s="67" t="str">
        <f>IFERROR(__xludf.DUMMYFUNCTION("""COMPUTED_VALUE"""),"VILL: DHORABHUTTA, POST: MOHARENGA, TAL: DHAMDHA")</f>
        <v>VILL: DHORABHUTTA, POST: MOHARENGA, TAL: DHAMDHA</v>
      </c>
      <c r="E15" s="67" t="str">
        <f>IFERROR(__xludf.DUMMYFUNCTION("""COMPUTED_VALUE"""),"DURG")</f>
        <v>DURG</v>
      </c>
      <c r="F15" s="67" t="str">
        <f>IFERROR(__xludf.DUMMYFUNCTION("""COMPUTED_VALUE"""),"CG")</f>
        <v>CG</v>
      </c>
      <c r="G15" s="96" t="str">
        <f>IFERROR(__xludf.DUMMYFUNCTION("""COMPUTED_VALUE"""),"09.08.22")</f>
        <v>09.08.22</v>
      </c>
      <c r="H15" s="67">
        <f>IFERROR(__xludf.DUMMYFUNCTION("""COMPUTED_VALUE"""),255.0)</f>
        <v>255</v>
      </c>
      <c r="I15" s="67">
        <f>IFERROR(__xludf.DUMMYFUNCTION("""COMPUTED_VALUE"""),5.0)</f>
        <v>5</v>
      </c>
      <c r="J15" s="67"/>
      <c r="K15" s="67"/>
      <c r="L15" s="67"/>
      <c r="M15" s="67"/>
      <c r="N15" s="67"/>
      <c r="O15" s="67"/>
      <c r="P15" s="67"/>
      <c r="Q15" s="67">
        <f>IFERROR(__xludf.DUMMYFUNCTION("""COMPUTED_VALUE"""),245.0)</f>
        <v>245</v>
      </c>
      <c r="R15" s="67"/>
      <c r="S15" s="67"/>
      <c r="T15" s="67">
        <f>IFERROR(__xludf.DUMMYFUNCTION("""COMPUTED_VALUE"""),3.0)</f>
        <v>3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>
        <f>IFERROR(__xludf.DUMMYFUNCTION("""COMPUTED_VALUE"""),2.0)</f>
        <v>2</v>
      </c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97"/>
      <c r="AT15" s="97"/>
      <c r="AU15" s="97"/>
      <c r="AV15" s="97"/>
      <c r="AW15" s="97"/>
      <c r="AX15" s="97"/>
      <c r="AY15" s="97"/>
      <c r="AZ15" s="97"/>
      <c r="BA15" s="97"/>
      <c r="BB15" s="97"/>
    </row>
    <row r="16">
      <c r="A16" s="67">
        <f>IFERROR(__xludf.DUMMYFUNCTION("""COMPUTED_VALUE"""),11.0)</f>
        <v>11</v>
      </c>
      <c r="B16" s="67" t="str">
        <f>IFERROR(__xludf.DUMMYFUNCTION("""COMPUTED_VALUE"""),"SOHAM GARDEN &amp; LANND SCAPING (SUMIT MUNDRA)")</f>
        <v>SOHAM GARDEN &amp; LANND SCAPING (SUMIT MUNDRA)</v>
      </c>
      <c r="C16" s="95">
        <f>IFERROR(__xludf.DUMMYFUNCTION("""COMPUTED_VALUE"""),9.893791499E9)</f>
        <v>9893791499</v>
      </c>
      <c r="D16" s="67" t="str">
        <f>IFERROR(__xludf.DUMMYFUNCTION("""COMPUTED_VALUE"""),"VILL: PUTARWAHI, POST: DALLI RAJHARA, TAL: DONDI")</f>
        <v>VILL: PUTARWAHI, POST: DALLI RAJHARA, TAL: DONDI</v>
      </c>
      <c r="E16" s="67" t="str">
        <f>IFERROR(__xludf.DUMMYFUNCTION("""COMPUTED_VALUE"""),"BALOD")</f>
        <v>BALOD</v>
      </c>
      <c r="F16" s="67" t="str">
        <f>IFERROR(__xludf.DUMMYFUNCTION("""COMPUTED_VALUE"""),"CG")</f>
        <v>CG</v>
      </c>
      <c r="G16" s="96" t="str">
        <f>IFERROR(__xludf.DUMMYFUNCTION("""COMPUTED_VALUE"""),"26.07.22/ 25.08.22")</f>
        <v>26.07.22/ 25.08.22</v>
      </c>
      <c r="H16" s="67">
        <f>IFERROR(__xludf.DUMMYFUNCTION("""COMPUTED_VALUE"""),340.0)</f>
        <v>340</v>
      </c>
      <c r="I16" s="67"/>
      <c r="J16" s="67"/>
      <c r="K16" s="67"/>
      <c r="L16" s="67"/>
      <c r="M16" s="67"/>
      <c r="N16" s="67"/>
      <c r="O16" s="67"/>
      <c r="P16" s="67"/>
      <c r="Q16" s="67">
        <f>IFERROR(__xludf.DUMMYFUNCTION("""COMPUTED_VALUE"""),300.0)</f>
        <v>300</v>
      </c>
      <c r="R16" s="67"/>
      <c r="S16" s="67"/>
      <c r="T16" s="67"/>
      <c r="U16" s="67"/>
      <c r="V16" s="67"/>
      <c r="W16" s="67"/>
      <c r="X16" s="67"/>
      <c r="Y16" s="67"/>
      <c r="Z16" s="67">
        <f>IFERROR(__xludf.DUMMYFUNCTION("""COMPUTED_VALUE"""),15.0)</f>
        <v>15</v>
      </c>
      <c r="AA16" s="67"/>
      <c r="AB16" s="67">
        <f>IFERROR(__xludf.DUMMYFUNCTION("""COMPUTED_VALUE"""),5.0)</f>
        <v>5</v>
      </c>
      <c r="AC16" s="67"/>
      <c r="AD16" s="67"/>
      <c r="AE16" s="67">
        <f>IFERROR(__xludf.DUMMYFUNCTION("""COMPUTED_VALUE"""),15.0)</f>
        <v>15</v>
      </c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>
        <f>IFERROR(__xludf.DUMMYFUNCTION("""COMPUTED_VALUE"""),5.0)</f>
        <v>5</v>
      </c>
      <c r="AQ16" s="67"/>
      <c r="AR16" s="67"/>
      <c r="AS16" s="97"/>
      <c r="AT16" s="97"/>
      <c r="AU16" s="97"/>
      <c r="AV16" s="97"/>
      <c r="AW16" s="97"/>
      <c r="AX16" s="97"/>
      <c r="AY16" s="97"/>
      <c r="AZ16" s="97"/>
      <c r="BA16" s="97"/>
      <c r="BB16" s="97"/>
    </row>
    <row r="17">
      <c r="A17" s="67">
        <f>IFERROR(__xludf.DUMMYFUNCTION("""COMPUTED_VALUE"""),12.0)</f>
        <v>12</v>
      </c>
      <c r="B17" s="67" t="str">
        <f>IFERROR(__xludf.DUMMYFUNCTION("""COMPUTED_VALUE"""),"SURENDRA SINGH S/O UJAGAR SINGH")</f>
        <v>SURENDRA SINGH S/O UJAGAR SINGH</v>
      </c>
      <c r="C17" s="95">
        <f>IFERROR(__xludf.DUMMYFUNCTION("""COMPUTED_VALUE"""),9.784299911E9)</f>
        <v>9784299911</v>
      </c>
      <c r="D17" s="67" t="str">
        <f>IFERROR(__xludf.DUMMYFUNCTION("""COMPUTED_VALUE"""),"VILL: BHENSODA, POST:BHENSODA")</f>
        <v>VILL: BHENSODA, POST:BHENSODA</v>
      </c>
      <c r="E17" s="67" t="str">
        <f>IFERROR(__xludf.DUMMYFUNCTION("""COMPUTED_VALUE"""),"MANDSAUR")</f>
        <v>MANDSAUR</v>
      </c>
      <c r="F17" s="67" t="str">
        <f>IFERROR(__xludf.DUMMYFUNCTION("""COMPUTED_VALUE"""),"MP")</f>
        <v>MP</v>
      </c>
      <c r="G17" s="96" t="str">
        <f>IFERROR(__xludf.DUMMYFUNCTION("""COMPUTED_VALUE"""),"24.08.22/ 12.01.23")</f>
        <v>24.08.22/ 12.01.23</v>
      </c>
      <c r="H17" s="67">
        <f>IFERROR(__xludf.DUMMYFUNCTION("""COMPUTED_VALUE"""),1100.0)</f>
        <v>1100</v>
      </c>
      <c r="I17" s="67"/>
      <c r="J17" s="67"/>
      <c r="K17" s="67"/>
      <c r="L17" s="67"/>
      <c r="M17" s="67"/>
      <c r="N17" s="67"/>
      <c r="O17" s="67"/>
      <c r="P17" s="67"/>
      <c r="Q17" s="67">
        <f>IFERROR(__xludf.DUMMYFUNCTION("""COMPUTED_VALUE"""),1100.0)</f>
        <v>1100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97"/>
      <c r="AT17" s="97"/>
      <c r="AU17" s="97"/>
      <c r="AV17" s="97"/>
      <c r="AW17" s="97"/>
      <c r="AX17" s="97"/>
      <c r="AY17" s="97"/>
      <c r="AZ17" s="97"/>
      <c r="BA17" s="97"/>
      <c r="BB17" s="97"/>
    </row>
    <row r="18">
      <c r="A18" s="67">
        <f>IFERROR(__xludf.DUMMYFUNCTION("""COMPUTED_VALUE"""),13.0)</f>
        <v>13</v>
      </c>
      <c r="B18" s="67" t="str">
        <f>IFERROR(__xludf.DUMMYFUNCTION("""COMPUTED_VALUE"""),"AMOL FATTESINGH JAGTAP")</f>
        <v>AMOL FATTESINGH JAGTAP</v>
      </c>
      <c r="C18" s="95">
        <f>IFERROR(__xludf.DUMMYFUNCTION("""COMPUTED_VALUE"""),9.730348293E9)</f>
        <v>9730348293</v>
      </c>
      <c r="D18" s="67" t="str">
        <f>IFERROR(__xludf.DUMMYFUNCTION("""COMPUTED_VALUE"""),"VILL:DHARALE, POST:DARALE, TAL: BARAMATI")</f>
        <v>VILL:DHARALE, POST:DARALE, TAL: BARAMATI</v>
      </c>
      <c r="E18" s="67" t="str">
        <f>IFERROR(__xludf.DUMMYFUNCTION("""COMPUTED_VALUE"""),"PUNE")</f>
        <v>PUNE</v>
      </c>
      <c r="F18" s="67" t="str">
        <f>IFERROR(__xludf.DUMMYFUNCTION("""COMPUTED_VALUE"""),"MH")</f>
        <v>MH</v>
      </c>
      <c r="G18" s="96" t="str">
        <f>IFERROR(__xludf.DUMMYFUNCTION("""COMPUTED_VALUE"""),"20.9.22")</f>
        <v>20.9.22</v>
      </c>
      <c r="H18" s="67">
        <f>IFERROR(__xludf.DUMMYFUNCTION("""COMPUTED_VALUE"""),470.0)</f>
        <v>470</v>
      </c>
      <c r="I18" s="67"/>
      <c r="J18" s="67"/>
      <c r="K18" s="67"/>
      <c r="L18" s="67"/>
      <c r="M18" s="67"/>
      <c r="N18" s="67">
        <f>IFERROR(__xludf.DUMMYFUNCTION("""COMPUTED_VALUE"""),470.0)</f>
        <v>470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97"/>
      <c r="AT18" s="97"/>
      <c r="AU18" s="97"/>
      <c r="AV18" s="97"/>
      <c r="AW18" s="97"/>
      <c r="AX18" s="97"/>
      <c r="AY18" s="97"/>
      <c r="AZ18" s="97"/>
      <c r="BA18" s="97"/>
      <c r="BB18" s="97"/>
    </row>
    <row r="19">
      <c r="A19" s="67">
        <f>IFERROR(__xludf.DUMMYFUNCTION("""COMPUTED_VALUE"""),14.0)</f>
        <v>14</v>
      </c>
      <c r="B19" s="67" t="str">
        <f>IFERROR(__xludf.DUMMYFUNCTION("""COMPUTED_VALUE"""),"MALVANIYA NITINKUMAR VANMALIBHAI")</f>
        <v>MALVANIYA NITINKUMAR VANMALIBHAI</v>
      </c>
      <c r="C19" s="95">
        <f>IFERROR(__xludf.DUMMYFUNCTION("""COMPUTED_VALUE"""),9.428917172E9)</f>
        <v>9428917172</v>
      </c>
      <c r="D19" s="67" t="str">
        <f>IFERROR(__xludf.DUMMYFUNCTION("""COMPUTED_VALUE"""),"VILL: DHOLI, POST: DHRANGHDRA, TAL: DHRANGDHRA")</f>
        <v>VILL: DHOLI, POST: DHRANGHDRA, TAL: DHRANGDHRA</v>
      </c>
      <c r="E19" s="67" t="str">
        <f>IFERROR(__xludf.DUMMYFUNCTION("""COMPUTED_VALUE"""),"SURENDRANAGAR")</f>
        <v>SURENDRANAGAR</v>
      </c>
      <c r="F19" s="67" t="str">
        <f>IFERROR(__xludf.DUMMYFUNCTION("""COMPUTED_VALUE"""),"GJ")</f>
        <v>GJ</v>
      </c>
      <c r="G19" s="96" t="str">
        <f>IFERROR(__xludf.DUMMYFUNCTION("""COMPUTED_VALUE"""),"13.10.22")</f>
        <v>13.10.22</v>
      </c>
      <c r="H19" s="67">
        <f>IFERROR(__xludf.DUMMYFUNCTION("""COMPUTED_VALUE"""),4.0)</f>
        <v>4</v>
      </c>
      <c r="I19" s="67"/>
      <c r="J19" s="67"/>
      <c r="K19" s="67"/>
      <c r="L19" s="67"/>
      <c r="M19" s="67"/>
      <c r="N19" s="67">
        <f>IFERROR(__xludf.DUMMYFUNCTION("""COMPUTED_VALUE"""),2.0)</f>
        <v>2</v>
      </c>
      <c r="O19" s="67"/>
      <c r="P19" s="67">
        <f>IFERROR(__xludf.DUMMYFUNCTION("""COMPUTED_VALUE"""),2.0)</f>
        <v>2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97"/>
      <c r="AT19" s="97"/>
      <c r="AU19" s="97"/>
      <c r="AV19" s="97"/>
      <c r="AW19" s="97"/>
      <c r="AX19" s="97"/>
      <c r="AY19" s="97"/>
      <c r="AZ19" s="97"/>
      <c r="BA19" s="97"/>
      <c r="BB19" s="97"/>
    </row>
    <row r="20">
      <c r="A20" s="67">
        <f>IFERROR(__xludf.DUMMYFUNCTION("""COMPUTED_VALUE"""),15.0)</f>
        <v>15</v>
      </c>
      <c r="B20" s="67" t="str">
        <f>IFERROR(__xludf.DUMMYFUNCTION("""COMPUTED_VALUE"""),"PUSHPABAI BANG
")</f>
        <v>PUSHPABAI BANG
</v>
      </c>
      <c r="C20" s="95">
        <f>IFERROR(__xludf.DUMMYFUNCTION("""COMPUTED_VALUE"""),9.422807059E9)</f>
        <v>9422807059</v>
      </c>
      <c r="D20" s="67" t="str">
        <f>IFERROR(__xludf.DUMMYFUNCTION("""COMPUTED_VALUE"""),"VILL: BABAPUR, POST: KAMARGAON, TAL: KARANJA (LAD)
")</f>
        <v>VILL: BABAPUR, POST: KAMARGAON, TAL: KARANJA (LAD)
</v>
      </c>
      <c r="E20" s="67" t="str">
        <f>IFERROR(__xludf.DUMMYFUNCTION("""COMPUTED_VALUE"""),"WASHIM
")</f>
        <v>WASHIM
</v>
      </c>
      <c r="F20" s="67" t="str">
        <f>IFERROR(__xludf.DUMMYFUNCTION("""COMPUTED_VALUE"""),"MH
")</f>
        <v>MH
</v>
      </c>
      <c r="G20" s="96" t="str">
        <f>IFERROR(__xludf.DUMMYFUNCTION("""COMPUTED_VALUE"""),"21.10.22/ 29.10.22
")</f>
        <v>21.10.22/ 29.10.22
</v>
      </c>
      <c r="H20" s="67">
        <f>IFERROR(__xludf.DUMMYFUNCTION("""COMPUTED_VALUE"""),25.0)</f>
        <v>25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>
        <f>IFERROR(__xludf.DUMMYFUNCTION("""COMPUTED_VALUE"""),25.0)</f>
        <v>25</v>
      </c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97"/>
      <c r="AT20" s="97"/>
      <c r="AU20" s="97"/>
      <c r="AV20" s="97"/>
      <c r="AW20" s="97"/>
      <c r="AX20" s="97"/>
      <c r="AY20" s="97"/>
      <c r="AZ20" s="97"/>
      <c r="BA20" s="97"/>
      <c r="BB20" s="97"/>
    </row>
    <row r="21">
      <c r="A21" s="67">
        <f>IFERROR(__xludf.DUMMYFUNCTION("""COMPUTED_VALUE"""),16.0)</f>
        <v>16</v>
      </c>
      <c r="B21" s="67" t="str">
        <f>IFERROR(__xludf.DUMMYFUNCTION("""COMPUTED_VALUE"""),"RAJENDRA RATHI ")</f>
        <v>RAJENDRA RATHI </v>
      </c>
      <c r="C21" s="95" t="str">
        <f>IFERROR(__xludf.DUMMYFUNCTION("""COMPUTED_VALUE"""),"8435505707/ 9424132650")</f>
        <v>8435505707/ 9424132650</v>
      </c>
      <c r="D21" s="67" t="str">
        <f>IFERROR(__xludf.DUMMYFUNCTION("""COMPUTED_VALUE"""),"VILL: CHIKHALAKASA, POST: DALLIRAJHARA, TAL:")</f>
        <v>VILL: CHIKHALAKASA, POST: DALLIRAJHARA, TAL:</v>
      </c>
      <c r="E21" s="67" t="str">
        <f>IFERROR(__xludf.DUMMYFUNCTION("""COMPUTED_VALUE"""),"BALOD")</f>
        <v>BALOD</v>
      </c>
      <c r="F21" s="67" t="str">
        <f>IFERROR(__xludf.DUMMYFUNCTION("""COMPUTED_VALUE"""),"CG")</f>
        <v>CG</v>
      </c>
      <c r="G21" s="96" t="str">
        <f>IFERROR(__xludf.DUMMYFUNCTION("""COMPUTED_VALUE"""),"30.09.22/ 09.11.22")</f>
        <v>30.09.22/ 09.11.22</v>
      </c>
      <c r="H21" s="67">
        <f>IFERROR(__xludf.DUMMYFUNCTION("""COMPUTED_VALUE"""),500.0)</f>
        <v>500</v>
      </c>
      <c r="I21" s="67"/>
      <c r="J21" s="67"/>
      <c r="K21" s="67"/>
      <c r="L21" s="67"/>
      <c r="M21" s="67"/>
      <c r="N21" s="67"/>
      <c r="O21" s="67"/>
      <c r="P21" s="67"/>
      <c r="Q21" s="67">
        <f>IFERROR(__xludf.DUMMYFUNCTION("""COMPUTED_VALUE"""),500.0)</f>
        <v>500</v>
      </c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97"/>
      <c r="AT21" s="97"/>
      <c r="AU21" s="97"/>
      <c r="AV21" s="97"/>
      <c r="AW21" s="97"/>
      <c r="AX21" s="97"/>
      <c r="AY21" s="97"/>
      <c r="AZ21" s="97"/>
      <c r="BA21" s="97"/>
      <c r="BB21" s="97"/>
    </row>
    <row r="22">
      <c r="A22" s="67">
        <f>IFERROR(__xludf.DUMMYFUNCTION("""COMPUTED_VALUE"""),17.0)</f>
        <v>17</v>
      </c>
      <c r="B22" s="67" t="str">
        <f>IFERROR(__xludf.DUMMYFUNCTION("""COMPUTED_VALUE"""),"JAMUNA PRASAD MAURYA")</f>
        <v>JAMUNA PRASAD MAURYA</v>
      </c>
      <c r="C22" s="95">
        <f>IFERROR(__xludf.DUMMYFUNCTION("""COMPUTED_VALUE"""),9.792292969E9)</f>
        <v>9792292969</v>
      </c>
      <c r="D22" s="67" t="str">
        <f>IFERROR(__xludf.DUMMYFUNCTION("""COMPUTED_VALUE"""),"VILL:SUJANPUR, POST:SUJANPUR, TAL:DHAOHARA")</f>
        <v>VILL:SUJANPUR, POST:SUJANPUR, TAL:DHAOHARA</v>
      </c>
      <c r="E22" s="67" t="str">
        <f>IFERROR(__xludf.DUMMYFUNCTION("""COMPUTED_VALUE"""),"LAKHIMPUR, KHERI")</f>
        <v>LAKHIMPUR, KHERI</v>
      </c>
      <c r="F22" s="67" t="str">
        <f>IFERROR(__xludf.DUMMYFUNCTION("""COMPUTED_VALUE"""),"UP")</f>
        <v>UP</v>
      </c>
      <c r="G22" s="96" t="str">
        <f>IFERROR(__xludf.DUMMYFUNCTION("""COMPUTED_VALUE"""),"14.11.22")</f>
        <v>14.11.22</v>
      </c>
      <c r="H22" s="67">
        <f>IFERROR(__xludf.DUMMYFUNCTION("""COMPUTED_VALUE"""),925.0)</f>
        <v>925</v>
      </c>
      <c r="I22" s="67"/>
      <c r="J22" s="67"/>
      <c r="K22" s="67"/>
      <c r="L22" s="67"/>
      <c r="M22" s="67"/>
      <c r="N22" s="67"/>
      <c r="O22" s="67"/>
      <c r="P22" s="67"/>
      <c r="Q22" s="67">
        <f>IFERROR(__xludf.DUMMYFUNCTION("""COMPUTED_VALUE"""),325.0)</f>
        <v>325</v>
      </c>
      <c r="R22" s="67"/>
      <c r="S22" s="67"/>
      <c r="T22" s="67"/>
      <c r="U22" s="67">
        <f>IFERROR(__xludf.DUMMYFUNCTION("""COMPUTED_VALUE"""),500.0)</f>
        <v>500</v>
      </c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>
        <f>IFERROR(__xludf.DUMMYFUNCTION("""COMPUTED_VALUE"""),100.0)</f>
        <v>100</v>
      </c>
      <c r="AN22" s="67"/>
      <c r="AO22" s="67"/>
      <c r="AP22" s="67"/>
      <c r="AQ22" s="67"/>
      <c r="AR22" s="67"/>
      <c r="AS22" s="97"/>
      <c r="AT22" s="97"/>
      <c r="AU22" s="97"/>
      <c r="AV22" s="97"/>
      <c r="AW22" s="97"/>
      <c r="AX22" s="97"/>
      <c r="AY22" s="97"/>
      <c r="AZ22" s="97"/>
      <c r="BA22" s="97"/>
      <c r="BB22" s="97"/>
    </row>
    <row r="23">
      <c r="A23" s="67">
        <f>IFERROR(__xludf.DUMMYFUNCTION("""COMPUTED_VALUE"""),18.0)</f>
        <v>18</v>
      </c>
      <c r="B23" s="67" t="str">
        <f>IFERROR(__xludf.DUMMYFUNCTION("""COMPUTED_VALUE"""),"MANJU KEDIA
")</f>
        <v>MANJU KEDIA
</v>
      </c>
      <c r="C23" s="95">
        <f>IFERROR(__xludf.DUMMYFUNCTION("""COMPUTED_VALUE"""),7.000320235E9)</f>
        <v>7000320235</v>
      </c>
      <c r="D23" s="67" t="str">
        <f>IFERROR(__xludf.DUMMYFUNCTION("""COMPUTED_VALUE"""),"VILL:KERWA, POST: RAJGAMAR COLLIERY, TAL: KORBA
")</f>
        <v>VILL:KERWA, POST: RAJGAMAR COLLIERY, TAL: KORBA
</v>
      </c>
      <c r="E23" s="67" t="str">
        <f>IFERROR(__xludf.DUMMYFUNCTION("""COMPUTED_VALUE"""),"KORBA")</f>
        <v>KORBA</v>
      </c>
      <c r="F23" s="67" t="str">
        <f>IFERROR(__xludf.DUMMYFUNCTION("""COMPUTED_VALUE"""),"CG")</f>
        <v>CG</v>
      </c>
      <c r="G23" s="96" t="str">
        <f>IFERROR(__xludf.DUMMYFUNCTION("""COMPUTED_VALUE"""),"09.01.23
")</f>
        <v>09.01.23
</v>
      </c>
      <c r="H23" s="67">
        <f>IFERROR(__xludf.DUMMYFUNCTION("""COMPUTED_VALUE"""),930.0)</f>
        <v>930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>
        <f>IFERROR(__xludf.DUMMYFUNCTION("""COMPUTED_VALUE"""),20.0)</f>
        <v>20</v>
      </c>
      <c r="T23" s="67"/>
      <c r="U23" s="67">
        <f>IFERROR(__xludf.DUMMYFUNCTION("""COMPUTED_VALUE"""),250.0)</f>
        <v>250</v>
      </c>
      <c r="V23" s="67"/>
      <c r="W23" s="67"/>
      <c r="X23" s="67"/>
      <c r="Y23" s="67"/>
      <c r="Z23" s="67">
        <f>IFERROR(__xludf.DUMMYFUNCTION("""COMPUTED_VALUE"""),20.0)</f>
        <v>20</v>
      </c>
      <c r="AA23" s="67"/>
      <c r="AB23" s="67"/>
      <c r="AC23" s="67"/>
      <c r="AD23" s="67"/>
      <c r="AE23" s="67">
        <f>IFERROR(__xludf.DUMMYFUNCTION("""COMPUTED_VALUE"""),20.0)</f>
        <v>20</v>
      </c>
      <c r="AF23" s="67">
        <f>IFERROR(__xludf.DUMMYFUNCTION("""COMPUTED_VALUE"""),600.0)</f>
        <v>600</v>
      </c>
      <c r="AG23" s="67"/>
      <c r="AH23" s="67"/>
      <c r="AI23" s="67"/>
      <c r="AJ23" s="67"/>
      <c r="AK23" s="67"/>
      <c r="AL23" s="67"/>
      <c r="AM23" s="67"/>
      <c r="AN23" s="67">
        <f>IFERROR(__xludf.DUMMYFUNCTION("""COMPUTED_VALUE"""),20.0)</f>
        <v>20</v>
      </c>
      <c r="AO23" s="67"/>
      <c r="AP23" s="67"/>
      <c r="AQ23" s="67"/>
      <c r="AR23" s="67"/>
      <c r="AS23" s="97"/>
      <c r="AT23" s="97"/>
      <c r="AU23" s="97"/>
      <c r="AV23" s="97"/>
      <c r="AW23" s="97"/>
      <c r="AX23" s="97"/>
      <c r="AY23" s="97"/>
      <c r="AZ23" s="97"/>
      <c r="BA23" s="97"/>
      <c r="BB23" s="97"/>
    </row>
    <row r="24">
      <c r="A24" s="67">
        <f>IFERROR(__xludf.DUMMYFUNCTION("""COMPUTED_VALUE"""),19.0)</f>
        <v>19</v>
      </c>
      <c r="B24" s="67" t="str">
        <f>IFERROR(__xludf.DUMMYFUNCTION("""COMPUTED_VALUE"""),"VASUNDHARA GAJENDRA RAHANGDALE
")</f>
        <v>VASUNDHARA GAJENDRA RAHANGDALE
</v>
      </c>
      <c r="C24" s="95">
        <f>IFERROR(__xludf.DUMMYFUNCTION("""COMPUTED_VALUE"""),7.350188614E9)</f>
        <v>7350188614</v>
      </c>
      <c r="D24" s="67" t="str">
        <f>IFERROR(__xludf.DUMMYFUNCTION("""COMPUTED_VALUE"""),"VILL:BODALBODI, POST:DHANALI, TAL SALEKASA")</f>
        <v>VILL:BODALBODI, POST:DHANALI, TAL SALEKASA</v>
      </c>
      <c r="E24" s="67" t="str">
        <f>IFERROR(__xludf.DUMMYFUNCTION("""COMPUTED_VALUE"""),"GONDIYA")</f>
        <v>GONDIYA</v>
      </c>
      <c r="F24" s="67" t="str">
        <f>IFERROR(__xludf.DUMMYFUNCTION("""COMPUTED_VALUE"""),"MH")</f>
        <v>MH</v>
      </c>
      <c r="G24" s="96" t="str">
        <f>IFERROR(__xludf.DUMMYFUNCTION("""COMPUTED_VALUE"""),"14.01.23/ 18.01.23")</f>
        <v>14.01.23/ 18.01.23</v>
      </c>
      <c r="H24" s="67">
        <f>IFERROR(__xludf.DUMMYFUNCTION("""COMPUTED_VALUE"""),64.0)</f>
        <v>64</v>
      </c>
      <c r="I24" s="67"/>
      <c r="J24" s="67">
        <f>IFERROR(__xludf.DUMMYFUNCTION("""COMPUTED_VALUE"""),2.0)</f>
        <v>2</v>
      </c>
      <c r="K24" s="67"/>
      <c r="L24" s="67"/>
      <c r="M24" s="67"/>
      <c r="N24" s="67">
        <f>IFERROR(__xludf.DUMMYFUNCTION("""COMPUTED_VALUE"""),10.0)</f>
        <v>10</v>
      </c>
      <c r="O24" s="67"/>
      <c r="P24" s="67">
        <f>IFERROR(__xludf.DUMMYFUNCTION("""COMPUTED_VALUE"""),10.0)</f>
        <v>10</v>
      </c>
      <c r="Q24" s="67">
        <f>IFERROR(__xludf.DUMMYFUNCTION("""COMPUTED_VALUE"""),10.0)</f>
        <v>10</v>
      </c>
      <c r="R24" s="67">
        <f>IFERROR(__xludf.DUMMYFUNCTION("""COMPUTED_VALUE"""),2.0)</f>
        <v>2</v>
      </c>
      <c r="S24" s="67">
        <f>IFERROR(__xludf.DUMMYFUNCTION("""COMPUTED_VALUE"""),2.0)</f>
        <v>2</v>
      </c>
      <c r="T24" s="67">
        <f>IFERROR(__xludf.DUMMYFUNCTION("""COMPUTED_VALUE"""),2.0)</f>
        <v>2</v>
      </c>
      <c r="U24" s="67"/>
      <c r="V24" s="67"/>
      <c r="W24" s="67"/>
      <c r="X24" s="67"/>
      <c r="Y24" s="67"/>
      <c r="Z24" s="67">
        <f>IFERROR(__xludf.DUMMYFUNCTION("""COMPUTED_VALUE"""),2.0)</f>
        <v>2</v>
      </c>
      <c r="AA24" s="67">
        <f>IFERROR(__xludf.DUMMYFUNCTION("""COMPUTED_VALUE"""),5.0)</f>
        <v>5</v>
      </c>
      <c r="AB24" s="67"/>
      <c r="AC24" s="67">
        <f>IFERROR(__xludf.DUMMYFUNCTION("""COMPUTED_VALUE"""),2.0)</f>
        <v>2</v>
      </c>
      <c r="AD24" s="67"/>
      <c r="AE24" s="67">
        <f>IFERROR(__xludf.DUMMYFUNCTION("""COMPUTED_VALUE"""),2.0)</f>
        <v>2</v>
      </c>
      <c r="AF24" s="67">
        <f>IFERROR(__xludf.DUMMYFUNCTION("""COMPUTED_VALUE"""),5.0)</f>
        <v>5</v>
      </c>
      <c r="AG24" s="67">
        <f>IFERROR(__xludf.DUMMYFUNCTION("""COMPUTED_VALUE"""),5.0)</f>
        <v>5</v>
      </c>
      <c r="AH24" s="67"/>
      <c r="AI24" s="67"/>
      <c r="AJ24" s="67">
        <f>IFERROR(__xludf.DUMMYFUNCTION("""COMPUTED_VALUE"""),2.0)</f>
        <v>2</v>
      </c>
      <c r="AK24" s="67">
        <f>IFERROR(__xludf.DUMMYFUNCTION("""COMPUTED_VALUE"""),1.0)</f>
        <v>1</v>
      </c>
      <c r="AL24" s="67">
        <f>IFERROR(__xludf.DUMMYFUNCTION("""COMPUTED_VALUE"""),2.0)</f>
        <v>2</v>
      </c>
      <c r="AM24" s="67"/>
      <c r="AN24" s="67"/>
      <c r="AO24" s="67"/>
      <c r="AP24" s="67"/>
      <c r="AQ24" s="67"/>
      <c r="AR24" s="67"/>
      <c r="AS24" s="97"/>
      <c r="AT24" s="97"/>
      <c r="AU24" s="97"/>
      <c r="AV24" s="97"/>
      <c r="AW24" s="97"/>
      <c r="AX24" s="97"/>
      <c r="AY24" s="97"/>
      <c r="AZ24" s="97"/>
      <c r="BA24" s="97"/>
      <c r="BB24" s="97"/>
    </row>
    <row r="25">
      <c r="A25" s="67">
        <f>IFERROR(__xludf.DUMMYFUNCTION("""COMPUTED_VALUE"""),20.0)</f>
        <v>20</v>
      </c>
      <c r="B25" s="67" t="str">
        <f>IFERROR(__xludf.DUMMYFUNCTION("""COMPUTED_VALUE"""),"EKNATH MANJABA SHELKE")</f>
        <v>EKNATH MANJABA SHELKE</v>
      </c>
      <c r="C25" s="95">
        <f>IFERROR(__xludf.DUMMYFUNCTION("""COMPUTED_VALUE"""),9.822270144E9)</f>
        <v>9822270144</v>
      </c>
      <c r="D25" s="67" t="str">
        <f>IFERROR(__xludf.DUMMYFUNCTION("""COMPUTED_VALUE"""),"VILL:YADAVWADI, POST:WADEGHAVAN, TAL:PARNER")</f>
        <v>VILL:YADAVWADI, POST:WADEGHAVAN, TAL:PARNER</v>
      </c>
      <c r="E25" s="67" t="str">
        <f>IFERROR(__xludf.DUMMYFUNCTION("""COMPUTED_VALUE"""),"AHMEDNAGAR")</f>
        <v>AHMEDNAGAR</v>
      </c>
      <c r="F25" s="67" t="str">
        <f>IFERROR(__xludf.DUMMYFUNCTION("""COMPUTED_VALUE"""),"MH")</f>
        <v>MH</v>
      </c>
      <c r="G25" s="96" t="str">
        <f>IFERROR(__xludf.DUMMYFUNCTION("""COMPUTED_VALUE"""),"06.12.22 / 21.01.23")</f>
        <v>06.12.22 / 21.01.23</v>
      </c>
      <c r="H25" s="67">
        <f>IFERROR(__xludf.DUMMYFUNCTION("""COMPUTED_VALUE"""),1425.0)</f>
        <v>1425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>
        <f>IFERROR(__xludf.DUMMYFUNCTION("""COMPUTED_VALUE"""),1200.0)</f>
        <v>1200</v>
      </c>
      <c r="V25" s="67"/>
      <c r="W25" s="67"/>
      <c r="X25" s="67"/>
      <c r="Y25" s="67"/>
      <c r="Z25" s="67"/>
      <c r="AA25" s="67"/>
      <c r="AB25" s="67"/>
      <c r="AC25" s="67"/>
      <c r="AD25" s="67"/>
      <c r="AE25" s="67">
        <f>IFERROR(__xludf.DUMMYFUNCTION("""COMPUTED_VALUE"""),25.0)</f>
        <v>25</v>
      </c>
      <c r="AF25" s="67"/>
      <c r="AG25" s="67">
        <f>IFERROR(__xludf.DUMMYFUNCTION("""COMPUTED_VALUE"""),100.0)</f>
        <v>100</v>
      </c>
      <c r="AH25" s="67"/>
      <c r="AI25" s="67"/>
      <c r="AJ25" s="67"/>
      <c r="AK25" s="67"/>
      <c r="AL25" s="67"/>
      <c r="AM25" s="67">
        <f>IFERROR(__xludf.DUMMYFUNCTION("""COMPUTED_VALUE"""),100.0)</f>
        <v>100</v>
      </c>
      <c r="AN25" s="67"/>
      <c r="AO25" s="67"/>
      <c r="AP25" s="67"/>
      <c r="AQ25" s="67"/>
      <c r="AR25" s="67"/>
      <c r="AS25" s="97"/>
      <c r="AT25" s="97"/>
      <c r="AU25" s="97"/>
      <c r="AV25" s="97"/>
      <c r="AW25" s="97"/>
      <c r="AX25" s="97"/>
      <c r="AY25" s="97"/>
      <c r="AZ25" s="97"/>
      <c r="BA25" s="97"/>
      <c r="BB25" s="97"/>
    </row>
    <row r="26">
      <c r="A26" s="67">
        <f>IFERROR(__xludf.DUMMYFUNCTION("""COMPUTED_VALUE"""),21.0)</f>
        <v>21</v>
      </c>
      <c r="B26" s="67" t="str">
        <f>IFERROR(__xludf.DUMMYFUNCTION("""COMPUTED_VALUE"""),"DEEPAK KUMAR AGARWAL
")</f>
        <v>DEEPAK KUMAR AGARWAL
</v>
      </c>
      <c r="C26" s="95">
        <f>IFERROR(__xludf.DUMMYFUNCTION("""COMPUTED_VALUE"""),7.605035945E9)</f>
        <v>7605035945</v>
      </c>
      <c r="D26" s="67" t="str">
        <f>IFERROR(__xludf.DUMMYFUNCTION("""COMPUTED_VALUE"""),"VILL:LACHHMANPUR")</f>
        <v>VILL:LACHHMANPUR</v>
      </c>
      <c r="E26" s="67" t="str">
        <f>IFERROR(__xludf.DUMMYFUNCTION("""COMPUTED_VALUE"""),"PURULIA ")</f>
        <v>PURULIA </v>
      </c>
      <c r="F26" s="67" t="str">
        <f>IFERROR(__xludf.DUMMYFUNCTION("""COMPUTED_VALUE"""),"WB")</f>
        <v>WB</v>
      </c>
      <c r="G26" s="96" t="str">
        <f>IFERROR(__xludf.DUMMYFUNCTION("""COMPUTED_VALUE"""),"21.01.23/ 24.01.23")</f>
        <v>21.01.23/ 24.01.23</v>
      </c>
      <c r="H26" s="67">
        <f>IFERROR(__xludf.DUMMYFUNCTION("""COMPUTED_VALUE"""),1850.0)</f>
        <v>1850</v>
      </c>
      <c r="I26" s="67">
        <f>IFERROR(__xludf.DUMMYFUNCTION("""COMPUTED_VALUE"""),200.0)</f>
        <v>200</v>
      </c>
      <c r="J26" s="67"/>
      <c r="K26" s="67"/>
      <c r="L26" s="67"/>
      <c r="M26" s="67"/>
      <c r="N26" s="67"/>
      <c r="O26" s="67"/>
      <c r="P26" s="67"/>
      <c r="Q26" s="67">
        <f>IFERROR(__xludf.DUMMYFUNCTION("""COMPUTED_VALUE"""),50.0)</f>
        <v>50</v>
      </c>
      <c r="R26" s="67"/>
      <c r="S26" s="67"/>
      <c r="T26" s="67"/>
      <c r="U26" s="67">
        <f>IFERROR(__xludf.DUMMYFUNCTION("""COMPUTED_VALUE"""),1500.0)</f>
        <v>1500</v>
      </c>
      <c r="V26" s="67"/>
      <c r="W26" s="67"/>
      <c r="X26" s="67"/>
      <c r="Y26" s="67"/>
      <c r="Z26" s="67">
        <f>IFERROR(__xludf.DUMMYFUNCTION("""COMPUTED_VALUE"""),50.0)</f>
        <v>50</v>
      </c>
      <c r="AA26" s="67"/>
      <c r="AB26" s="67"/>
      <c r="AC26" s="67"/>
      <c r="AD26" s="67"/>
      <c r="AE26" s="67">
        <f>IFERROR(__xludf.DUMMYFUNCTION("""COMPUTED_VALUE"""),50.0)</f>
        <v>50</v>
      </c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97"/>
      <c r="AT26" s="97"/>
      <c r="AU26" s="97"/>
      <c r="AV26" s="97"/>
      <c r="AW26" s="97"/>
      <c r="AX26" s="97"/>
      <c r="AY26" s="97"/>
      <c r="AZ26" s="97"/>
      <c r="BA26" s="97"/>
      <c r="BB26" s="97"/>
    </row>
    <row r="27">
      <c r="A27" s="67">
        <f>IFERROR(__xludf.DUMMYFUNCTION("""COMPUTED_VALUE"""),22.0)</f>
        <v>22</v>
      </c>
      <c r="B27" s="67" t="str">
        <f>IFERROR(__xludf.DUMMYFUNCTION("""COMPUTED_VALUE"""),"ROSHAN BAGHEL")</f>
        <v>ROSHAN BAGHEL</v>
      </c>
      <c r="C27" s="95" t="str">
        <f>IFERROR(__xludf.DUMMYFUNCTION("""COMPUTED_VALUE"""),"798724792/ 843577882")</f>
        <v>798724792/ 843577882</v>
      </c>
      <c r="D27" s="67" t="str">
        <f>IFERROR(__xludf.DUMMYFUNCTION("""COMPUTED_VALUE"""),"VILL: SURJIDIN, POST: LIMTARA,")</f>
        <v>VILL: SURJIDIN, POST: LIMTARA,</v>
      </c>
      <c r="E27" s="67" t="str">
        <f>IFERROR(__xludf.DUMMYFUNCTION("""COMPUTED_VALUE"""),"DURG")</f>
        <v>DURG</v>
      </c>
      <c r="F27" s="67" t="str">
        <f>IFERROR(__xludf.DUMMYFUNCTION("""COMPUTED_VALUE"""),"CG")</f>
        <v>CG</v>
      </c>
      <c r="G27" s="96" t="str">
        <f>IFERROR(__xludf.DUMMYFUNCTION("""COMPUTED_VALUE"""),"27.09.22/ 04.02.23")</f>
        <v>27.09.22/ 04.02.23</v>
      </c>
      <c r="H27" s="67">
        <f>IFERROR(__xludf.DUMMYFUNCTION("""COMPUTED_VALUE"""),100.0)</f>
        <v>100</v>
      </c>
      <c r="I27" s="67"/>
      <c r="J27" s="67">
        <f>IFERROR(__xludf.DUMMYFUNCTION("""COMPUTED_VALUE"""),100.0)</f>
        <v>100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97"/>
      <c r="AT27" s="97"/>
      <c r="AU27" s="97"/>
      <c r="AV27" s="97"/>
      <c r="AW27" s="97"/>
      <c r="AX27" s="97"/>
      <c r="AY27" s="97"/>
      <c r="AZ27" s="97"/>
      <c r="BA27" s="97"/>
      <c r="BB27" s="97"/>
    </row>
    <row r="28">
      <c r="A28" s="67">
        <f>IFERROR(__xludf.DUMMYFUNCTION("""COMPUTED_VALUE"""),23.0)</f>
        <v>23</v>
      </c>
      <c r="B28" s="67" t="str">
        <f>IFERROR(__xludf.DUMMYFUNCTION("""COMPUTED_VALUE"""),"PATTANAKAYAK KRISHI KHAMAR")</f>
        <v>PATTANAKAYAK KRISHI KHAMAR</v>
      </c>
      <c r="C28" s="95">
        <f>IFERROR(__xludf.DUMMYFUNCTION("""COMPUTED_VALUE"""),8.001225555E9)</f>
        <v>8001225555</v>
      </c>
      <c r="D28" s="67" t="str">
        <f>IFERROR(__xludf.DUMMYFUNCTION("""COMPUTED_VALUE"""),"VILL:BHAMUNIA, POST:BHAMURIA, TAL: NETURIA")</f>
        <v>VILL:BHAMUNIA, POST:BHAMURIA, TAL: NETURIA</v>
      </c>
      <c r="E28" s="67" t="str">
        <f>IFERROR(__xludf.DUMMYFUNCTION("""COMPUTED_VALUE"""),"PURUIA")</f>
        <v>PURUIA</v>
      </c>
      <c r="F28" s="67" t="str">
        <f>IFERROR(__xludf.DUMMYFUNCTION("""COMPUTED_VALUE"""),"WB")</f>
        <v>WB</v>
      </c>
      <c r="G28" s="96" t="str">
        <f>IFERROR(__xludf.DUMMYFUNCTION("""COMPUTED_VALUE"""),"30.07.22/ 24.09.22 (04.02.23)")</f>
        <v>30.07.22/ 24.09.22 (04.02.23)</v>
      </c>
      <c r="H28" s="67">
        <f>IFERROR(__xludf.DUMMYFUNCTION("""COMPUTED_VALUE"""),30.0)</f>
        <v>30</v>
      </c>
      <c r="I28" s="67"/>
      <c r="J28" s="67"/>
      <c r="K28" s="67">
        <f>IFERROR(__xludf.DUMMYFUNCTION("""COMPUTED_VALUE"""),30.0)</f>
        <v>30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97"/>
      <c r="AT28" s="97"/>
      <c r="AU28" s="97"/>
      <c r="AV28" s="97"/>
      <c r="AW28" s="97"/>
      <c r="AX28" s="97"/>
      <c r="AY28" s="97"/>
      <c r="AZ28" s="97"/>
      <c r="BA28" s="97"/>
      <c r="BB28" s="97"/>
    </row>
    <row r="29">
      <c r="A29" s="67">
        <f>IFERROR(__xludf.DUMMYFUNCTION("""COMPUTED_VALUE"""),24.0)</f>
        <v>24</v>
      </c>
      <c r="B29" s="67" t="str">
        <f>IFERROR(__xludf.DUMMYFUNCTION("""COMPUTED_VALUE"""),"GOPESHWARI PRADHAN
")</f>
        <v>GOPESHWARI PRADHAN
</v>
      </c>
      <c r="C29" s="95">
        <f>IFERROR(__xludf.DUMMYFUNCTION("""COMPUTED_VALUE"""),7.894106705E9)</f>
        <v>7894106705</v>
      </c>
      <c r="D29" s="67" t="str">
        <f>IFERROR(__xludf.DUMMYFUNCTION("""COMPUTED_VALUE"""),"VILL: JAMSETH, POST: JAMSETH , TAL: PAIKMAL
")</f>
        <v>VILL: JAMSETH, POST: JAMSETH , TAL: PAIKMAL
</v>
      </c>
      <c r="E29" s="67" t="str">
        <f>IFERROR(__xludf.DUMMYFUNCTION("""COMPUTED_VALUE"""),"BARGARH
")</f>
        <v>BARGARH
</v>
      </c>
      <c r="F29" s="67" t="str">
        <f>IFERROR(__xludf.DUMMYFUNCTION("""COMPUTED_VALUE"""),"OD")</f>
        <v>OD</v>
      </c>
      <c r="G29" s="96" t="str">
        <f>IFERROR(__xludf.DUMMYFUNCTION("""COMPUTED_VALUE"""),"15.02.23
")</f>
        <v>15.02.23
</v>
      </c>
      <c r="H29" s="67">
        <f>IFERROR(__xludf.DUMMYFUNCTION("""COMPUTED_VALUE"""),110.0)</f>
        <v>110</v>
      </c>
      <c r="I29" s="67">
        <f>IFERROR(__xludf.DUMMYFUNCTION("""COMPUTED_VALUE"""),60.0)</f>
        <v>60</v>
      </c>
      <c r="J29" s="67"/>
      <c r="K29" s="67"/>
      <c r="L29" s="67"/>
      <c r="M29" s="67"/>
      <c r="N29" s="67"/>
      <c r="O29" s="67"/>
      <c r="P29" s="67"/>
      <c r="Q29" s="67">
        <f>IFERROR(__xludf.DUMMYFUNCTION("""COMPUTED_VALUE"""),50.0)</f>
        <v>50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97"/>
      <c r="AT29" s="97"/>
      <c r="AU29" s="97"/>
      <c r="AV29" s="97"/>
      <c r="AW29" s="97"/>
      <c r="AX29" s="97"/>
      <c r="AY29" s="97"/>
      <c r="AZ29" s="97"/>
      <c r="BA29" s="97"/>
      <c r="BB29" s="97"/>
    </row>
    <row r="30">
      <c r="A30" s="67">
        <f>IFERROR(__xludf.DUMMYFUNCTION("""COMPUTED_VALUE"""),25.0)</f>
        <v>25</v>
      </c>
      <c r="B30" s="67" t="str">
        <f>IFERROR(__xludf.DUMMYFUNCTION("""COMPUTED_VALUE"""),"ASHA DEVI GARG
")</f>
        <v>ASHA DEVI GARG
</v>
      </c>
      <c r="C30" s="95" t="str">
        <f>IFERROR(__xludf.DUMMYFUNCTION("""COMPUTED_VALUE"""),"9479273815 / 9406113115
")</f>
        <v>9479273815 / 9406113115
</v>
      </c>
      <c r="D30" s="67" t="str">
        <f>IFERROR(__xludf.DUMMYFUNCTION("""COMPUTED_VALUE"""),"VILL:KHARGHHA, POST:LAMER, TAL:SAKRI
")</f>
        <v>VILL:KHARGHHA, POST:LAMER, TAL:SAKRI
</v>
      </c>
      <c r="E30" s="67" t="str">
        <f>IFERROR(__xludf.DUMMYFUNCTION("""COMPUTED_VALUE"""),"BILASPUR
")</f>
        <v>BILASPUR
</v>
      </c>
      <c r="F30" s="67" t="str">
        <f>IFERROR(__xludf.DUMMYFUNCTION("""COMPUTED_VALUE"""),"CG")</f>
        <v>CG</v>
      </c>
      <c r="G30" s="96" t="str">
        <f>IFERROR(__xludf.DUMMYFUNCTION("""COMPUTED_VALUE"""),"04.03.23 / 09.03.23
")</f>
        <v>04.03.23 / 09.03.23
</v>
      </c>
      <c r="H30" s="67">
        <f>IFERROR(__xludf.DUMMYFUNCTION("""COMPUTED_VALUE"""),600.0)</f>
        <v>600</v>
      </c>
      <c r="I30" s="67"/>
      <c r="J30" s="67">
        <f>IFERROR(__xludf.DUMMYFUNCTION("""COMPUTED_VALUE"""),600.0)</f>
        <v>600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97"/>
      <c r="AT30" s="97"/>
      <c r="AU30" s="97"/>
      <c r="AV30" s="97"/>
      <c r="AW30" s="97"/>
      <c r="AX30" s="97"/>
      <c r="AY30" s="97"/>
      <c r="AZ30" s="97"/>
      <c r="BA30" s="97"/>
      <c r="BB30" s="97"/>
    </row>
    <row r="31">
      <c r="A31" s="67">
        <f>IFERROR(__xludf.DUMMYFUNCTION("""COMPUTED_VALUE"""),26.0)</f>
        <v>26</v>
      </c>
      <c r="B31" s="67" t="str">
        <f>IFERROR(__xludf.DUMMYFUNCTION("""COMPUTED_VALUE"""),"RUPAL CHANDRAKAR
")</f>
        <v>RUPAL CHANDRAKAR
</v>
      </c>
      <c r="C31" s="95">
        <f>IFERROR(__xludf.DUMMYFUNCTION("""COMPUTED_VALUE"""),9.993242231E9)</f>
        <v>9993242231</v>
      </c>
      <c r="D31" s="67" t="str">
        <f>IFERROR(__xludf.DUMMYFUNCTION("""COMPUTED_VALUE"""),"VILL:KOLAR, POST:KOLAR, TAL:ABHANPUR
")</f>
        <v>VILL:KOLAR, POST:KOLAR, TAL:ABHANPUR
</v>
      </c>
      <c r="E31" s="67" t="str">
        <f>IFERROR(__xludf.DUMMYFUNCTION("""COMPUTED_VALUE"""),"RAIPUR")</f>
        <v>RAIPUR</v>
      </c>
      <c r="F31" s="67" t="str">
        <f>IFERROR(__xludf.DUMMYFUNCTION("""COMPUTED_VALUE"""),"CG")</f>
        <v>CG</v>
      </c>
      <c r="G31" s="96" t="str">
        <f>IFERROR(__xludf.DUMMYFUNCTION("""COMPUTED_VALUE"""),"10.03.23/
23.03.23
")</f>
        <v>10.03.23/
23.03.23
</v>
      </c>
      <c r="H31" s="67">
        <f>IFERROR(__xludf.DUMMYFUNCTION("""COMPUTED_VALUE"""),200.0)</f>
        <v>200</v>
      </c>
      <c r="I31" s="67">
        <f>IFERROR(__xludf.DUMMYFUNCTION("""COMPUTED_VALUE"""),100.0)</f>
        <v>100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>
        <f>IFERROR(__xludf.DUMMYFUNCTION("""COMPUTED_VALUE"""),50.0)</f>
        <v>50</v>
      </c>
      <c r="AA31" s="67"/>
      <c r="AB31" s="67"/>
      <c r="AC31" s="67"/>
      <c r="AD31" s="67"/>
      <c r="AE31" s="67">
        <f>IFERROR(__xludf.DUMMYFUNCTION("""COMPUTED_VALUE"""),50.0)</f>
        <v>50</v>
      </c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97"/>
      <c r="AT31" s="97"/>
      <c r="AU31" s="97"/>
      <c r="AV31" s="97"/>
      <c r="AW31" s="97"/>
      <c r="AX31" s="97"/>
      <c r="AY31" s="97"/>
      <c r="AZ31" s="97"/>
      <c r="BA31" s="97"/>
      <c r="BB31" s="97"/>
    </row>
    <row r="32">
      <c r="A32" s="67">
        <f>IFERROR(__xludf.DUMMYFUNCTION("""COMPUTED_VALUE"""),27.0)</f>
        <v>27</v>
      </c>
      <c r="B32" s="67" t="str">
        <f>IFERROR(__xludf.DUMMYFUNCTION("""COMPUTED_VALUE"""),"VASUNDHARA JUVEKAR
")</f>
        <v>VASUNDHARA JUVEKAR
</v>
      </c>
      <c r="C32" s="95">
        <f>IFERROR(__xludf.DUMMYFUNCTION("""COMPUTED_VALUE"""),9.425204556E9)</f>
        <v>9425204556</v>
      </c>
      <c r="D32" s="67" t="str">
        <f>IFERROR(__xludf.DUMMYFUNCTION("""COMPUTED_VALUE"""),"VILL: SOANPURI, POST:MOHRENGA, TAL:KUSMI
")</f>
        <v>VILL: SOANPURI, POST:MOHRENGA, TAL:KUSMI
</v>
      </c>
      <c r="E32" s="67" t="str">
        <f>IFERROR(__xludf.DUMMYFUNCTION("""COMPUTED_VALUE"""),"BEMETARA
")</f>
        <v>BEMETARA
</v>
      </c>
      <c r="F32" s="67" t="str">
        <f>IFERROR(__xludf.DUMMYFUNCTION("""COMPUTED_VALUE"""),"CG")</f>
        <v>CG</v>
      </c>
      <c r="G32" s="96" t="str">
        <f>IFERROR(__xludf.DUMMYFUNCTION("""COMPUTED_VALUE"""),"03.03.23 / 13.03.23")</f>
        <v>03.03.23 / 13.03.23</v>
      </c>
      <c r="H32" s="67">
        <f>IFERROR(__xludf.DUMMYFUNCTION("""COMPUTED_VALUE"""),1800.0)</f>
        <v>1800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>
        <f>IFERROR(__xludf.DUMMYFUNCTION("""COMPUTED_VALUE"""),1800.0)</f>
        <v>1800</v>
      </c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97"/>
      <c r="AT32" s="97"/>
      <c r="AU32" s="97"/>
      <c r="AV32" s="97"/>
      <c r="AW32" s="97"/>
      <c r="AX32" s="97"/>
      <c r="AY32" s="97"/>
      <c r="AZ32" s="97"/>
      <c r="BA32" s="97"/>
      <c r="BB32" s="97"/>
    </row>
    <row r="33">
      <c r="A33" s="67">
        <f>IFERROR(__xludf.DUMMYFUNCTION("""COMPUTED_VALUE"""),28.0)</f>
        <v>28</v>
      </c>
      <c r="B33" s="67" t="str">
        <f>IFERROR(__xludf.DUMMYFUNCTION("""COMPUTED_VALUE"""),"UDAY SINGH 
")</f>
        <v>UDAY SINGH 
</v>
      </c>
      <c r="C33" s="95" t="str">
        <f>IFERROR(__xludf.DUMMYFUNCTION("""COMPUTED_VALUE"""),"7905535275 / 8171499274
")</f>
        <v>7905535275 / 8171499274
</v>
      </c>
      <c r="D33" s="67" t="str">
        <f>IFERROR(__xludf.DUMMYFUNCTION("""COMPUTED_VALUE"""),"VILL:KAKARMAN, POST:NOUBUSTA, TAL:MAITHA
")</f>
        <v>VILL:KAKARMAN, POST:NOUBUSTA, TAL:MAITHA
</v>
      </c>
      <c r="E33" s="67" t="str">
        <f>IFERROR(__xludf.DUMMYFUNCTION("""COMPUTED_VALUE"""),"KANPUR DEHAI
")</f>
        <v>KANPUR DEHAI
</v>
      </c>
      <c r="F33" s="67" t="str">
        <f>IFERROR(__xludf.DUMMYFUNCTION("""COMPUTED_VALUE"""),"UP
")</f>
        <v>UP
</v>
      </c>
      <c r="G33" s="96" t="str">
        <f>IFERROR(__xludf.DUMMYFUNCTION("""COMPUTED_VALUE"""),"27.02.23 / 21.03.23
")</f>
        <v>27.02.23 / 21.03.23
</v>
      </c>
      <c r="H33" s="67">
        <f>IFERROR(__xludf.DUMMYFUNCTION("""COMPUTED_VALUE"""),300.0)</f>
        <v>300</v>
      </c>
      <c r="I33" s="67">
        <f>IFERROR(__xludf.DUMMYFUNCTION("""COMPUTED_VALUE"""),300.0)</f>
        <v>300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97"/>
      <c r="AT33" s="97"/>
      <c r="AU33" s="97"/>
      <c r="AV33" s="97"/>
      <c r="AW33" s="97"/>
      <c r="AX33" s="97"/>
      <c r="AY33" s="97"/>
      <c r="AZ33" s="97"/>
      <c r="BA33" s="97"/>
      <c r="BB33" s="97"/>
    </row>
    <row r="34">
      <c r="A34" s="67">
        <f>IFERROR(__xludf.DUMMYFUNCTION("""COMPUTED_VALUE"""),29.0)</f>
        <v>29</v>
      </c>
      <c r="B34" s="67" t="str">
        <f>IFERROR(__xludf.DUMMYFUNCTION("""COMPUTED_VALUE"""),"SAROJ KUMAR GUPTA")</f>
        <v>SAROJ KUMAR GUPTA</v>
      </c>
      <c r="C34" s="95">
        <f>IFERROR(__xludf.DUMMYFUNCTION("""COMPUTED_VALUE"""),9.406377122E9)</f>
        <v>9406377122</v>
      </c>
      <c r="D34" s="67" t="str">
        <f>IFERROR(__xludf.DUMMYFUNCTION("""COMPUTED_VALUE"""),"VILL: THENGABHAT ,POST: DAARGAON, TAL DHAMDHA")</f>
        <v>VILL: THENGABHAT ,POST: DAARGAON, TAL DHAMDHA</v>
      </c>
      <c r="E34" s="67" t="str">
        <f>IFERROR(__xludf.DUMMYFUNCTION("""COMPUTED_VALUE"""),"DURG")</f>
        <v>DURG</v>
      </c>
      <c r="F34" s="67" t="str">
        <f>IFERROR(__xludf.DUMMYFUNCTION("""COMPUTED_VALUE"""),"CG")</f>
        <v>CG</v>
      </c>
      <c r="G34" s="96" t="str">
        <f>IFERROR(__xludf.DUMMYFUNCTION("""COMPUTED_VALUE"""),"24.05.21/ 21.03.23")</f>
        <v>24.05.21/ 21.03.23</v>
      </c>
      <c r="H34" s="67">
        <f>IFERROR(__xludf.DUMMYFUNCTION("""COMPUTED_VALUE"""),300.0)</f>
        <v>300</v>
      </c>
      <c r="I34" s="67"/>
      <c r="J34" s="67"/>
      <c r="K34" s="67">
        <f>IFERROR(__xludf.DUMMYFUNCTION("""COMPUTED_VALUE"""),300.0)</f>
        <v>300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97"/>
      <c r="AT34" s="97"/>
      <c r="AU34" s="97"/>
      <c r="AV34" s="97"/>
      <c r="AW34" s="97"/>
      <c r="AX34" s="97"/>
      <c r="AY34" s="97"/>
      <c r="AZ34" s="97"/>
      <c r="BA34" s="97"/>
      <c r="BB34" s="97"/>
    </row>
    <row r="35">
      <c r="A35" s="67">
        <f>IFERROR(__xludf.DUMMYFUNCTION("""COMPUTED_VALUE"""),30.0)</f>
        <v>30</v>
      </c>
      <c r="B35" s="67" t="str">
        <f>IFERROR(__xludf.DUMMYFUNCTION("""COMPUTED_VALUE"""),"SENIOR SCIENTIST AND HEAD KVK KOREA")</f>
        <v>SENIOR SCIENTIST AND HEAD KVK KOREA</v>
      </c>
      <c r="C35" s="95">
        <f>IFERROR(__xludf.DUMMYFUNCTION("""COMPUTED_VALUE"""),7.389618584E9)</f>
        <v>7389618584</v>
      </c>
      <c r="D35" s="67" t="str">
        <f>IFERROR(__xludf.DUMMYFUNCTION("""COMPUTED_VALUE"""),"VILL:SALKA, POST:MANSUKH, TAL:BAIKUNTHPUR")</f>
        <v>VILL:SALKA, POST:MANSUKH, TAL:BAIKUNTHPUR</v>
      </c>
      <c r="E35" s="67" t="str">
        <f>IFERROR(__xludf.DUMMYFUNCTION("""COMPUTED_VALUE"""),"KOREA")</f>
        <v>KOREA</v>
      </c>
      <c r="F35" s="67" t="str">
        <f>IFERROR(__xludf.DUMMYFUNCTION("""COMPUTED_VALUE"""),"CG")</f>
        <v>CG</v>
      </c>
      <c r="G35" s="96" t="str">
        <f>IFERROR(__xludf.DUMMYFUNCTION("""COMPUTED_VALUE"""),"22.03.23 /27.03.23")</f>
        <v>22.03.23 /27.03.23</v>
      </c>
      <c r="H35" s="67">
        <f>IFERROR(__xludf.DUMMYFUNCTION("""COMPUTED_VALUE"""),135.0)</f>
        <v>135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>
        <f>IFERROR(__xludf.DUMMYFUNCTION("""COMPUTED_VALUE"""),135.0)</f>
        <v>135</v>
      </c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97"/>
      <c r="AT35" s="97"/>
      <c r="AU35" s="97"/>
      <c r="AV35" s="97"/>
      <c r="AW35" s="97"/>
      <c r="AX35" s="97"/>
      <c r="AY35" s="97"/>
      <c r="AZ35" s="97"/>
      <c r="BA35" s="97"/>
      <c r="BB35" s="97"/>
    </row>
    <row r="36">
      <c r="A36" s="67">
        <f>IFERROR(__xludf.DUMMYFUNCTION("""COMPUTED_VALUE"""),31.0)</f>
        <v>31</v>
      </c>
      <c r="B36" s="67" t="str">
        <f>IFERROR(__xludf.DUMMYFUNCTION("""COMPUTED_VALUE"""),"ANKIT KUMAR RAKESH")</f>
        <v>ANKIT KUMAR RAKESH</v>
      </c>
      <c r="C36" s="95">
        <f>IFERROR(__xludf.DUMMYFUNCTION("""COMPUTED_VALUE"""),7.974839604E9)</f>
        <v>7974839604</v>
      </c>
      <c r="D36" s="67" t="str">
        <f>IFERROR(__xludf.DUMMYFUNCTION("""COMPUTED_VALUE"""),"VILL:SARGAON, POST:SARGAON, TAL:PATHARIYA")</f>
        <v>VILL:SARGAON, POST:SARGAON, TAL:PATHARIYA</v>
      </c>
      <c r="E36" s="67" t="str">
        <f>IFERROR(__xludf.DUMMYFUNCTION("""COMPUTED_VALUE"""),"MUNGELI")</f>
        <v>MUNGELI</v>
      </c>
      <c r="F36" s="67" t="str">
        <f>IFERROR(__xludf.DUMMYFUNCTION("""COMPUTED_VALUE"""),"CG")</f>
        <v>CG</v>
      </c>
      <c r="G36" s="96" t="str">
        <f>IFERROR(__xludf.DUMMYFUNCTION("""COMPUTED_VALUE"""),"22.03.23 / 29.3.23")</f>
        <v>22.03.23 / 29.3.23</v>
      </c>
      <c r="H36" s="67">
        <f>IFERROR(__xludf.DUMMYFUNCTION("""COMPUTED_VALUE"""),420.0)</f>
        <v>420</v>
      </c>
      <c r="I36" s="67">
        <f>IFERROR(__xludf.DUMMYFUNCTION("""COMPUTED_VALUE"""),60.0)</f>
        <v>60</v>
      </c>
      <c r="J36" s="67"/>
      <c r="K36" s="67"/>
      <c r="L36" s="67"/>
      <c r="M36" s="67"/>
      <c r="N36" s="67">
        <f>IFERROR(__xludf.DUMMYFUNCTION("""COMPUTED_VALUE"""),40.0)</f>
        <v>40</v>
      </c>
      <c r="O36" s="67"/>
      <c r="P36" s="67">
        <f>IFERROR(__xludf.DUMMYFUNCTION("""COMPUTED_VALUE"""),40.0)</f>
        <v>40</v>
      </c>
      <c r="Q36" s="67"/>
      <c r="R36" s="67">
        <f>IFERROR(__xludf.DUMMYFUNCTION("""COMPUTED_VALUE"""),70.0)</f>
        <v>70</v>
      </c>
      <c r="S36" s="67"/>
      <c r="T36" s="67">
        <f>IFERROR(__xludf.DUMMYFUNCTION("""COMPUTED_VALUE"""),70.0)</f>
        <v>70</v>
      </c>
      <c r="U36" s="67">
        <f>IFERROR(__xludf.DUMMYFUNCTION("""COMPUTED_VALUE"""),90.0)</f>
        <v>90</v>
      </c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>
        <f>IFERROR(__xludf.DUMMYFUNCTION("""COMPUTED_VALUE"""),20.0)</f>
        <v>20</v>
      </c>
      <c r="AN36" s="67">
        <f>IFERROR(__xludf.DUMMYFUNCTION("""COMPUTED_VALUE"""),30.0)</f>
        <v>30</v>
      </c>
      <c r="AO36" s="67"/>
      <c r="AP36" s="67"/>
      <c r="AQ36" s="67"/>
      <c r="AR36" s="67"/>
      <c r="AS36" s="97"/>
      <c r="AT36" s="97"/>
      <c r="AU36" s="97"/>
      <c r="AV36" s="97"/>
      <c r="AW36" s="97"/>
      <c r="AX36" s="97"/>
      <c r="AY36" s="97"/>
      <c r="AZ36" s="97"/>
      <c r="BA36" s="97"/>
      <c r="BB36" s="97"/>
    </row>
    <row r="37">
      <c r="A37" s="67">
        <f>IFERROR(__xludf.DUMMYFUNCTION("""COMPUTED_VALUE"""),32.0)</f>
        <v>32</v>
      </c>
      <c r="B37" s="67" t="str">
        <f>IFERROR(__xludf.DUMMYFUNCTION("""COMPUTED_VALUE"""),"GAGAN BIHARI JENA")</f>
        <v>GAGAN BIHARI JENA</v>
      </c>
      <c r="C37" s="95">
        <f>IFERROR(__xludf.DUMMYFUNCTION("""COMPUTED_VALUE"""),8.249998084E9)</f>
        <v>8249998084</v>
      </c>
      <c r="D37" s="67" t="str">
        <f>IFERROR(__xludf.DUMMYFUNCTION("""COMPUTED_VALUE"""),"VILL:KANTO, POST:KOLIMATI, TAL:ANANDAPUR")</f>
        <v>VILL:KANTO, POST:KOLIMATI, TAL:ANANDAPUR</v>
      </c>
      <c r="E37" s="67" t="str">
        <f>IFERROR(__xludf.DUMMYFUNCTION("""COMPUTED_VALUE"""),"KENDUJHAR")</f>
        <v>KENDUJHAR</v>
      </c>
      <c r="F37" s="67" t="str">
        <f>IFERROR(__xludf.DUMMYFUNCTION("""COMPUTED_VALUE"""),"OD")</f>
        <v>OD</v>
      </c>
      <c r="G37" s="96" t="str">
        <f>IFERROR(__xludf.DUMMYFUNCTION("""COMPUTED_VALUE"""),"04.04.2023")</f>
        <v>04.04.2023</v>
      </c>
      <c r="H37" s="67">
        <f>IFERROR(__xludf.DUMMYFUNCTION("""COMPUTED_VALUE"""),22.0)</f>
        <v>22</v>
      </c>
      <c r="I37" s="67"/>
      <c r="J37" s="67"/>
      <c r="K37" s="67"/>
      <c r="L37" s="67"/>
      <c r="M37" s="67"/>
      <c r="N37" s="67">
        <f>IFERROR(__xludf.DUMMYFUNCTION("""COMPUTED_VALUE"""),5.0)</f>
        <v>5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>
        <f>IFERROR(__xludf.DUMMYFUNCTION("""COMPUTED_VALUE"""),10.0)</f>
        <v>10</v>
      </c>
      <c r="AA37" s="67">
        <f>IFERROR(__xludf.DUMMYFUNCTION("""COMPUTED_VALUE"""),1.0)</f>
        <v>1</v>
      </c>
      <c r="AB37" s="67"/>
      <c r="AC37" s="67"/>
      <c r="AD37" s="67"/>
      <c r="AE37" s="67">
        <f>IFERROR(__xludf.DUMMYFUNCTION("""COMPUTED_VALUE"""),2.0)</f>
        <v>2</v>
      </c>
      <c r="AF37" s="67"/>
      <c r="AG37" s="67"/>
      <c r="AH37" s="67"/>
      <c r="AI37" s="67"/>
      <c r="AJ37" s="67"/>
      <c r="AK37" s="67"/>
      <c r="AL37" s="67">
        <f>IFERROR(__xludf.DUMMYFUNCTION("""COMPUTED_VALUE"""),2.0)</f>
        <v>2</v>
      </c>
      <c r="AM37" s="67"/>
      <c r="AN37" s="67">
        <f>IFERROR(__xludf.DUMMYFUNCTION("""COMPUTED_VALUE"""),2.0)</f>
        <v>2</v>
      </c>
      <c r="AO37" s="67"/>
      <c r="AP37" s="67"/>
      <c r="AQ37" s="67"/>
      <c r="AR37" s="67"/>
      <c r="AS37" s="97"/>
      <c r="AT37" s="97"/>
      <c r="AU37" s="97"/>
      <c r="AV37" s="97"/>
      <c r="AW37" s="97"/>
      <c r="AX37" s="97"/>
      <c r="AY37" s="97"/>
      <c r="AZ37" s="97"/>
      <c r="BA37" s="97"/>
      <c r="BB37" s="97"/>
    </row>
    <row r="38">
      <c r="A38" s="67">
        <f>IFERROR(__xludf.DUMMYFUNCTION("""COMPUTED_VALUE"""),33.0)</f>
        <v>33</v>
      </c>
      <c r="B38" s="67" t="str">
        <f>IFERROR(__xludf.DUMMYFUNCTION("""COMPUTED_VALUE"""),"SIDDAPPA SIDRAM GOBBI")</f>
        <v>SIDDAPPA SIDRAM GOBBI</v>
      </c>
      <c r="C38" s="95">
        <f>IFERROR(__xludf.DUMMYFUNCTION("""COMPUTED_VALUE"""),9.096818476E9)</f>
        <v>9096818476</v>
      </c>
      <c r="D38" s="67" t="str">
        <f>IFERROR(__xludf.DUMMYFUNCTION("""COMPUTED_VALUE"""),"VILL:TIKONDI, POST:TIKONDI, TAL:JATH")</f>
        <v>VILL:TIKONDI, POST:TIKONDI, TAL:JATH</v>
      </c>
      <c r="E38" s="67" t="str">
        <f>IFERROR(__xludf.DUMMYFUNCTION("""COMPUTED_VALUE"""),"SANGLI")</f>
        <v>SANGLI</v>
      </c>
      <c r="F38" s="67" t="str">
        <f>IFERROR(__xludf.DUMMYFUNCTION("""COMPUTED_VALUE"""),"MH")</f>
        <v>MH</v>
      </c>
      <c r="G38" s="96" t="str">
        <f>IFERROR(__xludf.DUMMYFUNCTION("""COMPUTED_VALUE"""),"04.04.2023")</f>
        <v>04.04.2023</v>
      </c>
      <c r="H38" s="67">
        <f>IFERROR(__xludf.DUMMYFUNCTION("""COMPUTED_VALUE"""),4.0)</f>
        <v>4</v>
      </c>
      <c r="I38" s="67"/>
      <c r="J38" s="67"/>
      <c r="K38" s="67"/>
      <c r="L38" s="67"/>
      <c r="M38" s="67"/>
      <c r="N38" s="67">
        <f>IFERROR(__xludf.DUMMYFUNCTION("""COMPUTED_VALUE"""),2.0)</f>
        <v>2</v>
      </c>
      <c r="O38" s="67"/>
      <c r="P38" s="67">
        <f>IFERROR(__xludf.DUMMYFUNCTION("""COMPUTED_VALUE"""),2.0)</f>
        <v>2</v>
      </c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97"/>
      <c r="AT38" s="97"/>
      <c r="AU38" s="97"/>
      <c r="AV38" s="97"/>
      <c r="AW38" s="97"/>
      <c r="AX38" s="97"/>
      <c r="AY38" s="97"/>
      <c r="AZ38" s="97"/>
      <c r="BA38" s="97"/>
      <c r="BB38" s="97"/>
    </row>
    <row r="39">
      <c r="A39" s="67">
        <f>IFERROR(__xludf.DUMMYFUNCTION("""COMPUTED_VALUE"""),34.0)</f>
        <v>34</v>
      </c>
      <c r="B39" s="67" t="str">
        <f>IFERROR(__xludf.DUMMYFUNCTION("""COMPUTED_VALUE"""),"PATEL MITESHKUMAR")</f>
        <v>PATEL MITESHKUMAR</v>
      </c>
      <c r="C39" s="95">
        <f>IFERROR(__xludf.DUMMYFUNCTION("""COMPUTED_VALUE"""),9.898654994E9)</f>
        <v>9898654994</v>
      </c>
      <c r="D39" s="67" t="str">
        <f>IFERROR(__xludf.DUMMYFUNCTION("""COMPUTED_VALUE"""),"VILL:ASOJ, POST:ASOJ")</f>
        <v>VILL:ASOJ, POST:ASOJ</v>
      </c>
      <c r="E39" s="67" t="str">
        <f>IFERROR(__xludf.DUMMYFUNCTION("""COMPUTED_VALUE"""),"VADODARA")</f>
        <v>VADODARA</v>
      </c>
      <c r="F39" s="67" t="str">
        <f>IFERROR(__xludf.DUMMYFUNCTION("""COMPUTED_VALUE"""),"GJ")</f>
        <v>GJ</v>
      </c>
      <c r="G39" s="96" t="str">
        <f>IFERROR(__xludf.DUMMYFUNCTION("""COMPUTED_VALUE"""),"06.04.23")</f>
        <v>06.04.23</v>
      </c>
      <c r="H39" s="67">
        <f>IFERROR(__xludf.DUMMYFUNCTION("""COMPUTED_VALUE"""),850.0)</f>
        <v>850</v>
      </c>
      <c r="I39" s="67">
        <f>IFERROR(__xludf.DUMMYFUNCTION("""COMPUTED_VALUE"""),1.0)</f>
        <v>1</v>
      </c>
      <c r="J39" s="67"/>
      <c r="K39" s="67"/>
      <c r="L39" s="67"/>
      <c r="M39" s="67"/>
      <c r="N39" s="67"/>
      <c r="O39" s="67"/>
      <c r="P39" s="67"/>
      <c r="Q39" s="67"/>
      <c r="R39" s="67">
        <f>IFERROR(__xludf.DUMMYFUNCTION("""COMPUTED_VALUE"""),2.0)</f>
        <v>2</v>
      </c>
      <c r="S39" s="67"/>
      <c r="T39" s="67"/>
      <c r="U39" s="67">
        <f>IFERROR(__xludf.DUMMYFUNCTION("""COMPUTED_VALUE"""),825.0)</f>
        <v>825</v>
      </c>
      <c r="V39" s="67"/>
      <c r="W39" s="67"/>
      <c r="X39" s="67"/>
      <c r="Y39" s="67"/>
      <c r="Z39" s="67"/>
      <c r="AA39" s="67"/>
      <c r="AB39" s="67">
        <f>IFERROR(__xludf.DUMMYFUNCTION("""COMPUTED_VALUE"""),1.0)</f>
        <v>1</v>
      </c>
      <c r="AC39" s="67"/>
      <c r="AD39" s="67"/>
      <c r="AE39" s="67">
        <f>IFERROR(__xludf.DUMMYFUNCTION("""COMPUTED_VALUE"""),1.0)</f>
        <v>1</v>
      </c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>
        <f>IFERROR(__xludf.DUMMYFUNCTION("""COMPUTED_VALUE"""),20.0)</f>
        <v>20</v>
      </c>
      <c r="AQ39" s="67"/>
      <c r="AR39" s="67"/>
      <c r="AS39" s="97"/>
      <c r="AT39" s="97"/>
      <c r="AU39" s="97"/>
      <c r="AV39" s="97"/>
      <c r="AW39" s="97"/>
      <c r="AX39" s="97"/>
      <c r="AY39" s="97"/>
      <c r="AZ39" s="97"/>
      <c r="BA39" s="97"/>
      <c r="BB39" s="97"/>
    </row>
    <row r="40">
      <c r="A40" s="67">
        <f>IFERROR(__xludf.DUMMYFUNCTION("""COMPUTED_VALUE"""),35.0)</f>
        <v>35</v>
      </c>
      <c r="B40" s="67" t="str">
        <f>IFERROR(__xludf.DUMMYFUNCTION("""COMPUTED_VALUE"""),"BIMAL KUMAR AGARWALLA")</f>
        <v>BIMAL KUMAR AGARWALLA</v>
      </c>
      <c r="C40" s="95">
        <f>IFERROR(__xludf.DUMMYFUNCTION("""COMPUTED_VALUE"""),9.038461171E9)</f>
        <v>9038461171</v>
      </c>
      <c r="D40" s="67" t="str">
        <f>IFERROR(__xludf.DUMMYFUNCTION("""COMPUTED_VALUE"""),"VILL:KOMALA AGENCIES, WARD NO. 12 POST: KORANJIA")</f>
        <v>VILL:KOMALA AGENCIES, WARD NO. 12 POST: KORANJIA</v>
      </c>
      <c r="E40" s="67" t="str">
        <f>IFERROR(__xludf.DUMMYFUNCTION("""COMPUTED_VALUE"""),"MAYURBHANJ")</f>
        <v>MAYURBHANJ</v>
      </c>
      <c r="F40" s="67" t="str">
        <f>IFERROR(__xludf.DUMMYFUNCTION("""COMPUTED_VALUE"""),"OD")</f>
        <v>OD</v>
      </c>
      <c r="G40" s="96" t="str">
        <f>IFERROR(__xludf.DUMMYFUNCTION("""COMPUTED_VALUE"""),"10.04.23")</f>
        <v>10.04.23</v>
      </c>
      <c r="H40" s="67">
        <f>IFERROR(__xludf.DUMMYFUNCTION("""COMPUTED_VALUE"""),50.0)</f>
        <v>50</v>
      </c>
      <c r="I40" s="67">
        <f>IFERROR(__xludf.DUMMYFUNCTION("""COMPUTED_VALUE"""),10.0)</f>
        <v>10</v>
      </c>
      <c r="J40" s="67"/>
      <c r="K40" s="67"/>
      <c r="L40" s="67"/>
      <c r="M40" s="67"/>
      <c r="N40" s="67">
        <f>IFERROR(__xludf.DUMMYFUNCTION("""COMPUTED_VALUE"""),10.0)</f>
        <v>10</v>
      </c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>
        <f>IFERROR(__xludf.DUMMYFUNCTION("""COMPUTED_VALUE"""),10.0)</f>
        <v>10</v>
      </c>
      <c r="AA40" s="67"/>
      <c r="AB40" s="67">
        <f>IFERROR(__xludf.DUMMYFUNCTION("""COMPUTED_VALUE"""),10.0)</f>
        <v>10</v>
      </c>
      <c r="AC40" s="67"/>
      <c r="AD40" s="67"/>
      <c r="AE40" s="67">
        <f>IFERROR(__xludf.DUMMYFUNCTION("""COMPUTED_VALUE"""),10.0)</f>
        <v>10</v>
      </c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97"/>
      <c r="AT40" s="97"/>
      <c r="AU40" s="97"/>
      <c r="AV40" s="97"/>
      <c r="AW40" s="97"/>
      <c r="AX40" s="97"/>
      <c r="AY40" s="97"/>
      <c r="AZ40" s="97"/>
      <c r="BA40" s="97"/>
      <c r="BB40" s="97"/>
    </row>
    <row r="41">
      <c r="A41" s="67">
        <f>IFERROR(__xludf.DUMMYFUNCTION("""COMPUTED_VALUE"""),36.0)</f>
        <v>36</v>
      </c>
      <c r="B41" s="67" t="str">
        <f>IFERROR(__xludf.DUMMYFUNCTION("""COMPUTED_VALUE"""),"ROHAN AHUJA")</f>
        <v>ROHAN AHUJA</v>
      </c>
      <c r="C41" s="95" t="str">
        <f>IFERROR(__xludf.DUMMYFUNCTION("""COMPUTED_VALUE"""),"7008787255 / 7894443386")</f>
        <v>7008787255 / 7894443386</v>
      </c>
      <c r="D41" s="67" t="str">
        <f>IFERROR(__xludf.DUMMYFUNCTION("""COMPUTED_VALUE"""),"VILL:JEYPURE,POST: JEYPURE, TAL: JEYPURE")</f>
        <v>VILL:JEYPURE,POST: JEYPURE, TAL: JEYPURE</v>
      </c>
      <c r="E41" s="67" t="str">
        <f>IFERROR(__xludf.DUMMYFUNCTION("""COMPUTED_VALUE"""),"KORAPUT")</f>
        <v>KORAPUT</v>
      </c>
      <c r="F41" s="67" t="str">
        <f>IFERROR(__xludf.DUMMYFUNCTION("""COMPUTED_VALUE"""),"OD")</f>
        <v>OD</v>
      </c>
      <c r="G41" s="96" t="str">
        <f>IFERROR(__xludf.DUMMYFUNCTION("""COMPUTED_VALUE"""),"14.04.23 /19.04.23")</f>
        <v>14.04.23 /19.04.23</v>
      </c>
      <c r="H41" s="67">
        <f>IFERROR(__xludf.DUMMYFUNCTION("""COMPUTED_VALUE"""),523.0)</f>
        <v>523</v>
      </c>
      <c r="I41" s="67">
        <f>IFERROR(__xludf.DUMMYFUNCTION("""COMPUTED_VALUE"""),10.0)</f>
        <v>10</v>
      </c>
      <c r="J41" s="67">
        <f>IFERROR(__xludf.DUMMYFUNCTION("""COMPUTED_VALUE"""),2.0)</f>
        <v>2</v>
      </c>
      <c r="K41" s="67"/>
      <c r="L41" s="67"/>
      <c r="M41" s="67"/>
      <c r="N41" s="67">
        <f>IFERROR(__xludf.DUMMYFUNCTION("""COMPUTED_VALUE"""),50.0)</f>
        <v>50</v>
      </c>
      <c r="O41" s="67"/>
      <c r="P41" s="67">
        <f>IFERROR(__xludf.DUMMYFUNCTION("""COMPUTED_VALUE"""),450.0)</f>
        <v>450</v>
      </c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>
        <f>IFERROR(__xludf.DUMMYFUNCTION("""COMPUTED_VALUE"""),5.0)</f>
        <v>5</v>
      </c>
      <c r="AC41" s="67"/>
      <c r="AD41" s="67"/>
      <c r="AE41" s="67"/>
      <c r="AF41" s="67"/>
      <c r="AG41" s="67">
        <f>IFERROR(__xludf.DUMMYFUNCTION("""COMPUTED_VALUE"""),2.0)</f>
        <v>2</v>
      </c>
      <c r="AH41" s="67"/>
      <c r="AI41" s="67"/>
      <c r="AJ41" s="67">
        <f>IFERROR(__xludf.DUMMYFUNCTION("""COMPUTED_VALUE"""),2.0)</f>
        <v>2</v>
      </c>
      <c r="AK41" s="67"/>
      <c r="AL41" s="67"/>
      <c r="AM41" s="67"/>
      <c r="AN41" s="67">
        <f>IFERROR(__xludf.DUMMYFUNCTION("""COMPUTED_VALUE"""),2.0)</f>
        <v>2</v>
      </c>
      <c r="AO41" s="67"/>
      <c r="AP41" s="67"/>
      <c r="AQ41" s="67"/>
      <c r="AR41" s="67"/>
      <c r="AS41" s="97"/>
      <c r="AT41" s="97"/>
      <c r="AU41" s="97"/>
      <c r="AV41" s="97"/>
      <c r="AW41" s="97"/>
      <c r="AX41" s="97"/>
      <c r="AY41" s="97"/>
      <c r="AZ41" s="97"/>
      <c r="BA41" s="97"/>
      <c r="BB41" s="97"/>
    </row>
    <row r="42">
      <c r="A42" s="67">
        <f>IFERROR(__xludf.DUMMYFUNCTION("""COMPUTED_VALUE"""),37.0)</f>
        <v>37</v>
      </c>
      <c r="B42" s="67" t="str">
        <f>IFERROR(__xludf.DUMMYFUNCTION("""COMPUTED_VALUE"""),"PURUSHOTTAM LAL TAMRAKAR")</f>
        <v>PURUSHOTTAM LAL TAMRAKAR</v>
      </c>
      <c r="C42" s="95">
        <f>IFERROR(__xludf.DUMMYFUNCTION("""COMPUTED_VALUE"""),9.691010147E9)</f>
        <v>9691010147</v>
      </c>
      <c r="D42" s="67" t="str">
        <f>IFERROR(__xludf.DUMMYFUNCTION("""COMPUTED_VALUE"""),"VILL:TUMA KHURD, POST:TUMAKALA, TAL:BORI")</f>
        <v>VILL:TUMA KHURD, POST:TUMAKALA, TAL:BORI</v>
      </c>
      <c r="E42" s="67" t="str">
        <f>IFERROR(__xludf.DUMMYFUNCTION("""COMPUTED_VALUE"""),"DURG")</f>
        <v>DURG</v>
      </c>
      <c r="F42" s="67" t="str">
        <f>IFERROR(__xludf.DUMMYFUNCTION("""COMPUTED_VALUE"""),"CG")</f>
        <v>CG</v>
      </c>
      <c r="G42" s="96" t="str">
        <f>IFERROR(__xludf.DUMMYFUNCTION("""COMPUTED_VALUE"""),"20.04.23")</f>
        <v>20.04.23</v>
      </c>
      <c r="H42" s="67">
        <f>IFERROR(__xludf.DUMMYFUNCTION("""COMPUTED_VALUE"""),200.0)</f>
        <v>200</v>
      </c>
      <c r="I42" s="67">
        <f>IFERROR(__xludf.DUMMYFUNCTION("""COMPUTED_VALUE"""),200.0)</f>
        <v>200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97"/>
      <c r="AT42" s="97"/>
      <c r="AU42" s="97"/>
      <c r="AV42" s="97"/>
      <c r="AW42" s="97"/>
      <c r="AX42" s="97"/>
      <c r="AY42" s="97"/>
      <c r="AZ42" s="97"/>
      <c r="BA42" s="97"/>
      <c r="BB42" s="97"/>
    </row>
    <row r="43">
      <c r="A43" s="67">
        <f>IFERROR(__xludf.DUMMYFUNCTION("""COMPUTED_VALUE"""),38.0)</f>
        <v>38</v>
      </c>
      <c r="B43" s="67" t="str">
        <f>IFERROR(__xludf.DUMMYFUNCTION("""COMPUTED_VALUE"""),"TUSHAR BABAN SHINDE")</f>
        <v>TUSHAR BABAN SHINDE</v>
      </c>
      <c r="C43" s="95" t="str">
        <f>IFERROR(__xludf.DUMMYFUNCTION("""COMPUTED_VALUE"""),"8600400101 / 8788679293")</f>
        <v>8600400101 / 8788679293</v>
      </c>
      <c r="D43" s="67" t="str">
        <f>IFERROR(__xludf.DUMMYFUNCTION("""COMPUTED_VALUE"""),"VILL: VARKUTE KHURD, POST:VARKUTE KHURD, TAL:INDAPUR")</f>
        <v>VILL: VARKUTE KHURD, POST:VARKUTE KHURD, TAL:INDAPUR</v>
      </c>
      <c r="E43" s="67" t="str">
        <f>IFERROR(__xludf.DUMMYFUNCTION("""COMPUTED_VALUE"""),"PUNE")</f>
        <v>PUNE</v>
      </c>
      <c r="F43" s="67" t="str">
        <f>IFERROR(__xludf.DUMMYFUNCTION("""COMPUTED_VALUE"""),"MH")</f>
        <v>MH</v>
      </c>
      <c r="G43" s="96" t="str">
        <f>IFERROR(__xludf.DUMMYFUNCTION("""COMPUTED_VALUE"""),"18.04.23 / 26.04.23")</f>
        <v>18.04.23 / 26.04.23</v>
      </c>
      <c r="H43" s="67">
        <f>IFERROR(__xludf.DUMMYFUNCTION("""COMPUTED_VALUE"""),110.0)</f>
        <v>110</v>
      </c>
      <c r="I43" s="67"/>
      <c r="J43" s="67">
        <f>IFERROR(__xludf.DUMMYFUNCTION("""COMPUTED_VALUE"""),2.0)</f>
        <v>2</v>
      </c>
      <c r="K43" s="67"/>
      <c r="L43" s="67"/>
      <c r="M43" s="67"/>
      <c r="N43" s="67"/>
      <c r="O43" s="67"/>
      <c r="P43" s="67"/>
      <c r="Q43" s="67"/>
      <c r="R43" s="67"/>
      <c r="S43" s="67"/>
      <c r="T43" s="67">
        <f>IFERROR(__xludf.DUMMYFUNCTION("""COMPUTED_VALUE"""),100.0)</f>
        <v>100</v>
      </c>
      <c r="U43" s="67"/>
      <c r="V43" s="67"/>
      <c r="W43" s="67"/>
      <c r="X43" s="67"/>
      <c r="Y43" s="67"/>
      <c r="Z43" s="67"/>
      <c r="AA43" s="67">
        <f>IFERROR(__xludf.DUMMYFUNCTION("""COMPUTED_VALUE"""),2.0)</f>
        <v>2</v>
      </c>
      <c r="AB43" s="67"/>
      <c r="AC43" s="67">
        <f>IFERROR(__xludf.DUMMYFUNCTION("""COMPUTED_VALUE"""),2.0)</f>
        <v>2</v>
      </c>
      <c r="AD43" s="67"/>
      <c r="AE43" s="67"/>
      <c r="AF43" s="67"/>
      <c r="AG43" s="67"/>
      <c r="AH43" s="67"/>
      <c r="AI43" s="67"/>
      <c r="AJ43" s="67">
        <f>IFERROR(__xludf.DUMMYFUNCTION("""COMPUTED_VALUE"""),2.0)</f>
        <v>2</v>
      </c>
      <c r="AK43" s="67"/>
      <c r="AL43" s="67">
        <f>IFERROR(__xludf.DUMMYFUNCTION("""COMPUTED_VALUE"""),2.0)</f>
        <v>2</v>
      </c>
      <c r="AM43" s="67"/>
      <c r="AN43" s="67"/>
      <c r="AO43" s="67"/>
      <c r="AP43" s="67"/>
      <c r="AQ43" s="67"/>
      <c r="AR43" s="67"/>
      <c r="AS43" s="97"/>
      <c r="AT43" s="97"/>
      <c r="AU43" s="97"/>
      <c r="AV43" s="97"/>
      <c r="AW43" s="97"/>
      <c r="AX43" s="97"/>
      <c r="AY43" s="97"/>
      <c r="AZ43" s="97"/>
      <c r="BA43" s="97"/>
      <c r="BB43" s="97"/>
    </row>
    <row r="44">
      <c r="A44" s="67">
        <f>IFERROR(__xludf.DUMMYFUNCTION("""COMPUTED_VALUE"""),39.0)</f>
        <v>39</v>
      </c>
      <c r="B44" s="67" t="str">
        <f>IFERROR(__xludf.DUMMYFUNCTION("""COMPUTED_VALUE"""),"KIRAN ARUN SHINDE")</f>
        <v>KIRAN ARUN SHINDE</v>
      </c>
      <c r="C44" s="95" t="str">
        <f>IFERROR(__xludf.DUMMYFUNCTION("""COMPUTED_VALUE"""),"7588542727 / 7588182429")</f>
        <v>7588542727 / 7588182429</v>
      </c>
      <c r="D44" s="67" t="str">
        <f>IFERROR(__xludf.DUMMYFUNCTION("""COMPUTED_VALUE"""),"VILL:CHILWADI, POST:CHILWADI, TAL:KARJAT")</f>
        <v>VILL:CHILWADI, POST:CHILWADI, TAL:KARJAT</v>
      </c>
      <c r="E44" s="67" t="str">
        <f>IFERROR(__xludf.DUMMYFUNCTION("""COMPUTED_VALUE"""),"AHMEDNAGAR")</f>
        <v>AHMEDNAGAR</v>
      </c>
      <c r="F44" s="67" t="str">
        <f>IFERROR(__xludf.DUMMYFUNCTION("""COMPUTED_VALUE"""),"MH")</f>
        <v>MH</v>
      </c>
      <c r="G44" s="96" t="str">
        <f>IFERROR(__xludf.DUMMYFUNCTION("""COMPUTED_VALUE"""),"26.04.23")</f>
        <v>26.04.23</v>
      </c>
      <c r="H44" s="67">
        <f>IFERROR(__xludf.DUMMYFUNCTION("""COMPUTED_VALUE"""),725.0)</f>
        <v>725</v>
      </c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>
        <f>IFERROR(__xludf.DUMMYFUNCTION("""COMPUTED_VALUE"""),725.0)</f>
        <v>725</v>
      </c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97"/>
      <c r="AT44" s="97"/>
      <c r="AU44" s="97"/>
      <c r="AV44" s="97"/>
      <c r="AW44" s="97"/>
      <c r="AX44" s="97"/>
      <c r="AY44" s="97"/>
      <c r="AZ44" s="97"/>
      <c r="BA44" s="97"/>
      <c r="BB44" s="97"/>
    </row>
    <row r="45">
      <c r="A45" s="67"/>
      <c r="B45" s="67"/>
      <c r="C45" s="67"/>
      <c r="D45" s="67"/>
      <c r="E45" s="67"/>
      <c r="F45" s="67"/>
      <c r="G45" s="9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97"/>
      <c r="AT45" s="97"/>
      <c r="AU45" s="97"/>
      <c r="AV45" s="97"/>
      <c r="AW45" s="97"/>
      <c r="AX45" s="97"/>
      <c r="AY45" s="97"/>
      <c r="AZ45" s="97"/>
      <c r="BA45" s="97"/>
      <c r="BB45" s="97"/>
    </row>
    <row r="46">
      <c r="A46" s="67"/>
      <c r="B46" s="67" t="str">
        <f>IFERROR(__xludf.DUMMYFUNCTION("""COMPUTED_VALUE"""),"TOTAL NO OF PLANTS")</f>
        <v>TOTAL NO OF PLANTS</v>
      </c>
      <c r="C46" s="67"/>
      <c r="D46" s="67"/>
      <c r="E46" s="67"/>
      <c r="F46" s="67"/>
      <c r="G46" s="96"/>
      <c r="H46" s="67">
        <f>IFERROR(__xludf.DUMMYFUNCTION("""COMPUTED_VALUE"""),17007.0)</f>
        <v>17007</v>
      </c>
      <c r="I46" s="67">
        <f>IFERROR(__xludf.DUMMYFUNCTION("""COMPUTED_VALUE"""),1036.0)</f>
        <v>1036</v>
      </c>
      <c r="J46" s="67">
        <f>IFERROR(__xludf.DUMMYFUNCTION("""COMPUTED_VALUE"""),1211.0)</f>
        <v>1211</v>
      </c>
      <c r="K46" s="67">
        <f>IFERROR(__xludf.DUMMYFUNCTION("""COMPUTED_VALUE"""),330.0)</f>
        <v>330</v>
      </c>
      <c r="L46" s="67">
        <f>IFERROR(__xludf.DUMMYFUNCTION("""COMPUTED_VALUE"""),50.0)</f>
        <v>50</v>
      </c>
      <c r="M46" s="67">
        <f>IFERROR(__xludf.DUMMYFUNCTION("""COMPUTED_VALUE"""),0.0)</f>
        <v>0</v>
      </c>
      <c r="N46" s="67">
        <f>IFERROR(__xludf.DUMMYFUNCTION("""COMPUTED_VALUE"""),689.0)</f>
        <v>689</v>
      </c>
      <c r="O46" s="67">
        <f>IFERROR(__xludf.DUMMYFUNCTION("""COMPUTED_VALUE"""),0.0)</f>
        <v>0</v>
      </c>
      <c r="P46" s="67">
        <f>IFERROR(__xludf.DUMMYFUNCTION("""COMPUTED_VALUE"""),834.0)</f>
        <v>834</v>
      </c>
      <c r="Q46" s="67">
        <f>IFERROR(__xludf.DUMMYFUNCTION("""COMPUTED_VALUE"""),3080.0)</f>
        <v>3080</v>
      </c>
      <c r="R46" s="67">
        <f>IFERROR(__xludf.DUMMYFUNCTION("""COMPUTED_VALUE"""),74.0)</f>
        <v>74</v>
      </c>
      <c r="S46" s="67">
        <f>IFERROR(__xludf.DUMMYFUNCTION("""COMPUTED_VALUE"""),22.0)</f>
        <v>22</v>
      </c>
      <c r="T46" s="67">
        <f>IFERROR(__xludf.DUMMYFUNCTION("""COMPUTED_VALUE"""),225.0)</f>
        <v>225</v>
      </c>
      <c r="U46" s="67">
        <f>IFERROR(__xludf.DUMMYFUNCTION("""COMPUTED_VALUE"""),7300.0)</f>
        <v>7300</v>
      </c>
      <c r="V46" s="67">
        <f>IFERROR(__xludf.DUMMYFUNCTION("""COMPUTED_VALUE"""),0.0)</f>
        <v>0</v>
      </c>
      <c r="W46" s="67">
        <f>IFERROR(__xludf.DUMMYFUNCTION("""COMPUTED_VALUE"""),0.0)</f>
        <v>0</v>
      </c>
      <c r="X46" s="67">
        <f>IFERROR(__xludf.DUMMYFUNCTION("""COMPUTED_VALUE"""),0.0)</f>
        <v>0</v>
      </c>
      <c r="Y46" s="67">
        <f>IFERROR(__xludf.DUMMYFUNCTION("""COMPUTED_VALUE"""),0.0)</f>
        <v>0</v>
      </c>
      <c r="Z46" s="67">
        <f>IFERROR(__xludf.DUMMYFUNCTION("""COMPUTED_VALUE"""),162.0)</f>
        <v>162</v>
      </c>
      <c r="AA46" s="67">
        <f>IFERROR(__xludf.DUMMYFUNCTION("""COMPUTED_VALUE"""),18.0)</f>
        <v>18</v>
      </c>
      <c r="AB46" s="67">
        <f>IFERROR(__xludf.DUMMYFUNCTION("""COMPUTED_VALUE"""),141.0)</f>
        <v>141</v>
      </c>
      <c r="AC46" s="67">
        <f>IFERROR(__xludf.DUMMYFUNCTION("""COMPUTED_VALUE"""),24.0)</f>
        <v>24</v>
      </c>
      <c r="AD46" s="67">
        <f>IFERROR(__xludf.DUMMYFUNCTION("""COMPUTED_VALUE"""),0.0)</f>
        <v>0</v>
      </c>
      <c r="AE46" s="67">
        <f>IFERROR(__xludf.DUMMYFUNCTION("""COMPUTED_VALUE"""),187.0)</f>
        <v>187</v>
      </c>
      <c r="AF46" s="67">
        <f>IFERROR(__xludf.DUMMYFUNCTION("""COMPUTED_VALUE"""),1205.0)</f>
        <v>1205</v>
      </c>
      <c r="AG46" s="67">
        <f>IFERROR(__xludf.DUMMYFUNCTION("""COMPUTED_VALUE"""),107.0)</f>
        <v>107</v>
      </c>
      <c r="AH46" s="67">
        <f>IFERROR(__xludf.DUMMYFUNCTION("""COMPUTED_VALUE"""),0.0)</f>
        <v>0</v>
      </c>
      <c r="AI46" s="67">
        <f>IFERROR(__xludf.DUMMYFUNCTION("""COMPUTED_VALUE"""),0.0)</f>
        <v>0</v>
      </c>
      <c r="AJ46" s="67">
        <f>IFERROR(__xludf.DUMMYFUNCTION("""COMPUTED_VALUE"""),26.0)</f>
        <v>26</v>
      </c>
      <c r="AK46" s="67">
        <f>IFERROR(__xludf.DUMMYFUNCTION("""COMPUTED_VALUE"""),1.0)</f>
        <v>1</v>
      </c>
      <c r="AL46" s="67">
        <f>IFERROR(__xludf.DUMMYFUNCTION("""COMPUTED_VALUE"""),6.0)</f>
        <v>6</v>
      </c>
      <c r="AM46" s="67">
        <f>IFERROR(__xludf.DUMMYFUNCTION("""COMPUTED_VALUE"""),220.0)</f>
        <v>220</v>
      </c>
      <c r="AN46" s="67">
        <f>IFERROR(__xludf.DUMMYFUNCTION("""COMPUTED_VALUE"""),74.0)</f>
        <v>74</v>
      </c>
      <c r="AO46" s="67">
        <f>IFERROR(__xludf.DUMMYFUNCTION("""COMPUTED_VALUE"""),0.0)</f>
        <v>0</v>
      </c>
      <c r="AP46" s="67">
        <f>IFERROR(__xludf.DUMMYFUNCTION("""COMPUTED_VALUE"""),25.0)</f>
        <v>25</v>
      </c>
      <c r="AQ46" s="67">
        <f>IFERROR(__xludf.DUMMYFUNCTION("""COMPUTED_VALUE"""),0.0)</f>
        <v>0</v>
      </c>
      <c r="AR46" s="67">
        <f>IFERROR(__xludf.DUMMYFUNCTION("""COMPUTED_VALUE"""),0.0)</f>
        <v>0</v>
      </c>
      <c r="AS46" s="97"/>
      <c r="AT46" s="97"/>
      <c r="AU46" s="97">
        <f>IFERROR(__xludf.DUMMYFUNCTION("""COMPUTED_VALUE"""),0.0)</f>
        <v>0</v>
      </c>
      <c r="AV46" s="97">
        <f>IFERROR(__xludf.DUMMYFUNCTION("""COMPUTED_VALUE"""),0.0)</f>
        <v>0</v>
      </c>
      <c r="AW46" s="97"/>
      <c r="AX46" s="97"/>
      <c r="AY46" s="97"/>
      <c r="AZ46" s="97"/>
      <c r="BA46" s="97"/>
      <c r="BB46" s="97"/>
    </row>
    <row r="47">
      <c r="A47" s="67"/>
      <c r="B47" s="67"/>
      <c r="C47" s="67"/>
      <c r="D47" s="67"/>
      <c r="E47" s="67"/>
      <c r="F47" s="67"/>
      <c r="G47" s="9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97"/>
      <c r="AT47" s="97"/>
      <c r="AU47" s="97"/>
      <c r="AV47" s="97"/>
      <c r="AW47" s="97"/>
      <c r="AX47" s="97"/>
      <c r="AY47" s="97"/>
      <c r="AZ47" s="97"/>
      <c r="BA47" s="97"/>
      <c r="BB47" s="97"/>
    </row>
    <row r="48">
      <c r="A48" s="67"/>
      <c r="B48" s="67"/>
      <c r="C48" s="67"/>
      <c r="D48" s="67"/>
      <c r="E48" s="67"/>
      <c r="F48" s="67"/>
      <c r="G48" s="9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97"/>
      <c r="AT48" s="97"/>
      <c r="AU48" s="97"/>
      <c r="AV48" s="97"/>
      <c r="AW48" s="97"/>
      <c r="AX48" s="97"/>
      <c r="AY48" s="97"/>
      <c r="AZ48" s="97"/>
      <c r="BA48" s="97"/>
      <c r="BB48" s="97"/>
    </row>
    <row r="49">
      <c r="A49" s="67"/>
      <c r="B49" s="67"/>
      <c r="C49" s="67"/>
      <c r="D49" s="67"/>
      <c r="E49" s="67"/>
      <c r="F49" s="67"/>
      <c r="G49" s="9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97"/>
      <c r="AT49" s="97"/>
      <c r="AU49" s="97"/>
      <c r="AV49" s="97"/>
      <c r="AW49" s="97"/>
      <c r="AX49" s="97"/>
      <c r="AY49" s="97"/>
      <c r="AZ49" s="97"/>
      <c r="BA49" s="97"/>
      <c r="BB49" s="97"/>
    </row>
    <row r="50">
      <c r="A50" s="67"/>
      <c r="B50" s="67"/>
      <c r="C50" s="67"/>
      <c r="D50" s="67"/>
      <c r="E50" s="67"/>
      <c r="F50" s="67"/>
      <c r="G50" s="9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97"/>
      <c r="AT50" s="97"/>
      <c r="AU50" s="97"/>
      <c r="AV50" s="97"/>
      <c r="AW50" s="97"/>
      <c r="AX50" s="97"/>
      <c r="AY50" s="97"/>
      <c r="AZ50" s="97"/>
      <c r="BA50" s="97"/>
      <c r="BB50" s="97"/>
    </row>
    <row r="51">
      <c r="A51" s="67"/>
      <c r="B51" s="67"/>
      <c r="C51" s="67"/>
      <c r="D51" s="67"/>
      <c r="E51" s="67"/>
      <c r="F51" s="67"/>
      <c r="G51" s="9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97"/>
      <c r="AT51" s="97"/>
      <c r="AU51" s="97"/>
      <c r="AV51" s="97"/>
      <c r="AW51" s="97"/>
      <c r="AX51" s="97"/>
      <c r="AY51" s="97"/>
      <c r="AZ51" s="97"/>
      <c r="BA51" s="97"/>
      <c r="BB51" s="97"/>
    </row>
    <row r="52">
      <c r="A52" s="67"/>
      <c r="B52" s="67"/>
      <c r="C52" s="67"/>
      <c r="D52" s="67"/>
      <c r="E52" s="67"/>
      <c r="F52" s="67"/>
      <c r="G52" s="9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97"/>
      <c r="AT52" s="97"/>
      <c r="AU52" s="97"/>
      <c r="AV52" s="97"/>
      <c r="AW52" s="97"/>
      <c r="AX52" s="97"/>
      <c r="AY52" s="97"/>
      <c r="AZ52" s="97"/>
      <c r="BA52" s="97"/>
      <c r="BB52" s="97"/>
    </row>
    <row r="53">
      <c r="A53" s="67"/>
      <c r="B53" s="67"/>
      <c r="C53" s="67"/>
      <c r="D53" s="67"/>
      <c r="E53" s="67"/>
      <c r="F53" s="67"/>
      <c r="G53" s="9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97"/>
      <c r="AT53" s="97"/>
      <c r="AU53" s="97"/>
      <c r="AV53" s="97"/>
      <c r="AW53" s="97"/>
      <c r="AX53" s="97"/>
      <c r="AY53" s="97"/>
      <c r="AZ53" s="97"/>
      <c r="BA53" s="97"/>
      <c r="BB53" s="97"/>
    </row>
    <row r="54">
      <c r="A54" s="67"/>
      <c r="B54" s="67"/>
      <c r="C54" s="67"/>
      <c r="D54" s="67"/>
      <c r="E54" s="67"/>
      <c r="F54" s="67"/>
      <c r="G54" s="9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97"/>
      <c r="AT54" s="97"/>
      <c r="AU54" s="97"/>
      <c r="AV54" s="97"/>
      <c r="AW54" s="97"/>
      <c r="AX54" s="97"/>
      <c r="AY54" s="97"/>
      <c r="AZ54" s="97"/>
      <c r="BA54" s="97"/>
      <c r="BB54" s="97"/>
    </row>
    <row r="55">
      <c r="A55" s="67"/>
      <c r="B55" s="67"/>
      <c r="C55" s="67"/>
      <c r="D55" s="67"/>
      <c r="E55" s="67"/>
      <c r="F55" s="67"/>
      <c r="G55" s="9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97"/>
      <c r="AT55" s="97"/>
      <c r="AU55" s="97"/>
      <c r="AV55" s="97"/>
      <c r="AW55" s="97"/>
      <c r="AX55" s="97"/>
      <c r="AY55" s="97"/>
      <c r="AZ55" s="97"/>
      <c r="BA55" s="97"/>
      <c r="BB55" s="97"/>
    </row>
    <row r="56">
      <c r="A56" s="67"/>
      <c r="B56" s="67"/>
      <c r="C56" s="67"/>
      <c r="D56" s="67"/>
      <c r="E56" s="67"/>
      <c r="F56" s="67"/>
      <c r="G56" s="9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97"/>
      <c r="AT56" s="97"/>
      <c r="AU56" s="97"/>
      <c r="AV56" s="97"/>
      <c r="AW56" s="97"/>
      <c r="AX56" s="97"/>
      <c r="AY56" s="97"/>
      <c r="AZ56" s="97"/>
      <c r="BA56" s="97"/>
      <c r="BB56" s="97"/>
    </row>
    <row r="57">
      <c r="A57" s="67"/>
      <c r="B57" s="67"/>
      <c r="C57" s="67"/>
      <c r="D57" s="67"/>
      <c r="E57" s="67"/>
      <c r="F57" s="67"/>
      <c r="G57" s="9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97"/>
      <c r="AT57" s="97"/>
      <c r="AU57" s="97"/>
      <c r="AV57" s="97"/>
      <c r="AW57" s="97"/>
      <c r="AX57" s="97"/>
      <c r="AY57" s="97"/>
      <c r="AZ57" s="97"/>
      <c r="BA57" s="97"/>
      <c r="BB57" s="97"/>
    </row>
    <row r="58">
      <c r="A58" s="67"/>
      <c r="B58" s="67"/>
      <c r="C58" s="67"/>
      <c r="D58" s="67"/>
      <c r="E58" s="67"/>
      <c r="F58" s="67"/>
      <c r="G58" s="9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97"/>
      <c r="AT58" s="97"/>
      <c r="AU58" s="97"/>
      <c r="AV58" s="97"/>
      <c r="AW58" s="97"/>
      <c r="AX58" s="97"/>
      <c r="AY58" s="97"/>
      <c r="AZ58" s="97"/>
      <c r="BA58" s="97"/>
      <c r="BB58" s="97"/>
    </row>
    <row r="59">
      <c r="A59" s="67"/>
      <c r="B59" s="67"/>
      <c r="C59" s="67"/>
      <c r="D59" s="67"/>
      <c r="E59" s="67"/>
      <c r="F59" s="67"/>
      <c r="G59" s="96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97"/>
      <c r="AT59" s="97"/>
      <c r="AU59" s="97"/>
      <c r="AV59" s="97"/>
      <c r="AW59" s="97"/>
      <c r="AX59" s="97"/>
      <c r="AY59" s="97"/>
      <c r="AZ59" s="97"/>
      <c r="BA59" s="97"/>
      <c r="BB59" s="97"/>
    </row>
    <row r="60">
      <c r="A60" s="67"/>
      <c r="B60" s="67"/>
      <c r="C60" s="67"/>
      <c r="D60" s="67"/>
      <c r="E60" s="67"/>
      <c r="F60" s="67"/>
      <c r="G60" s="9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97"/>
      <c r="AT60" s="97"/>
      <c r="AU60" s="97"/>
      <c r="AV60" s="97"/>
      <c r="AW60" s="97"/>
      <c r="AX60" s="97"/>
      <c r="AY60" s="97"/>
      <c r="AZ60" s="97"/>
      <c r="BA60" s="97"/>
      <c r="BB60" s="97"/>
    </row>
    <row r="61">
      <c r="A61" s="67"/>
      <c r="B61" s="67"/>
      <c r="C61" s="67"/>
      <c r="D61" s="67"/>
      <c r="E61" s="67"/>
      <c r="F61" s="67"/>
      <c r="G61" s="9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97"/>
      <c r="AT61" s="97"/>
      <c r="AU61" s="97"/>
      <c r="AV61" s="97"/>
      <c r="AW61" s="97"/>
      <c r="AX61" s="97"/>
      <c r="AY61" s="97"/>
      <c r="AZ61" s="97"/>
      <c r="BA61" s="97"/>
      <c r="BB61" s="97"/>
    </row>
    <row r="62">
      <c r="A62" s="67"/>
      <c r="B62" s="67"/>
      <c r="C62" s="67"/>
      <c r="D62" s="67"/>
      <c r="E62" s="67"/>
      <c r="F62" s="67"/>
      <c r="G62" s="9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97"/>
      <c r="AT62" s="97"/>
      <c r="AU62" s="97"/>
      <c r="AV62" s="97"/>
      <c r="AW62" s="97"/>
      <c r="AX62" s="97"/>
      <c r="AY62" s="97"/>
      <c r="AZ62" s="97"/>
      <c r="BA62" s="97"/>
      <c r="BB62" s="97"/>
    </row>
    <row r="63">
      <c r="A63" s="67"/>
      <c r="B63" s="67"/>
      <c r="C63" s="67"/>
      <c r="D63" s="67"/>
      <c r="E63" s="67"/>
      <c r="F63" s="67"/>
      <c r="G63" s="9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97"/>
      <c r="AT63" s="97"/>
      <c r="AU63" s="97"/>
      <c r="AV63" s="97"/>
      <c r="AW63" s="97"/>
      <c r="AX63" s="97"/>
      <c r="AY63" s="97"/>
      <c r="AZ63" s="97"/>
      <c r="BA63" s="97"/>
      <c r="BB63" s="97"/>
    </row>
    <row r="64">
      <c r="A64" s="67"/>
      <c r="B64" s="67"/>
      <c r="C64" s="67"/>
      <c r="D64" s="67"/>
      <c r="E64" s="67"/>
      <c r="F64" s="67"/>
      <c r="G64" s="9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97"/>
      <c r="AT64" s="97"/>
      <c r="AU64" s="97"/>
      <c r="AV64" s="97"/>
      <c r="AW64" s="97"/>
      <c r="AX64" s="97"/>
      <c r="AY64" s="97"/>
      <c r="AZ64" s="97"/>
      <c r="BA64" s="97"/>
      <c r="BB64" s="97"/>
    </row>
    <row r="65">
      <c r="A65" s="67"/>
      <c r="B65" s="67"/>
      <c r="C65" s="67"/>
      <c r="D65" s="67"/>
      <c r="E65" s="67"/>
      <c r="F65" s="67"/>
      <c r="G65" s="9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97"/>
      <c r="AT65" s="97"/>
      <c r="AU65" s="97"/>
      <c r="AV65" s="97"/>
      <c r="AW65" s="97"/>
      <c r="AX65" s="97"/>
      <c r="AY65" s="97"/>
      <c r="AZ65" s="97"/>
      <c r="BA65" s="97"/>
      <c r="BB65" s="97"/>
    </row>
    <row r="66">
      <c r="A66" s="67"/>
      <c r="B66" s="67"/>
      <c r="C66" s="67"/>
      <c r="D66" s="67"/>
      <c r="E66" s="67"/>
      <c r="F66" s="67"/>
      <c r="G66" s="9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97"/>
      <c r="AT66" s="97"/>
      <c r="AU66" s="97"/>
      <c r="AV66" s="97"/>
      <c r="AW66" s="97"/>
      <c r="AX66" s="97"/>
      <c r="AY66" s="97"/>
      <c r="AZ66" s="97"/>
      <c r="BA66" s="97"/>
      <c r="BB66" s="97"/>
    </row>
    <row r="67">
      <c r="A67" s="67"/>
      <c r="B67" s="67"/>
      <c r="C67" s="67"/>
      <c r="D67" s="67"/>
      <c r="E67" s="67"/>
      <c r="F67" s="67"/>
      <c r="G67" s="9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97"/>
      <c r="AT67" s="97"/>
      <c r="AU67" s="97"/>
      <c r="AV67" s="97"/>
      <c r="AW67" s="97"/>
      <c r="AX67" s="97"/>
      <c r="AY67" s="97"/>
      <c r="AZ67" s="97"/>
      <c r="BA67" s="97"/>
      <c r="BB67" s="97"/>
    </row>
    <row r="68">
      <c r="A68" s="67"/>
      <c r="B68" s="67"/>
      <c r="C68" s="67"/>
      <c r="D68" s="67"/>
      <c r="E68" s="67"/>
      <c r="F68" s="67"/>
      <c r="G68" s="9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97"/>
      <c r="AT68" s="97"/>
      <c r="AU68" s="97"/>
      <c r="AV68" s="97"/>
      <c r="AW68" s="97"/>
      <c r="AX68" s="97"/>
      <c r="AY68" s="97"/>
      <c r="AZ68" s="97"/>
      <c r="BA68" s="97"/>
      <c r="BB68" s="97"/>
    </row>
    <row r="69">
      <c r="A69" s="67"/>
      <c r="B69" s="67"/>
      <c r="C69" s="67"/>
      <c r="D69" s="67"/>
      <c r="E69" s="67"/>
      <c r="F69" s="67"/>
      <c r="G69" s="9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97"/>
      <c r="AT69" s="97"/>
      <c r="AU69" s="97"/>
      <c r="AV69" s="97"/>
      <c r="AW69" s="97"/>
      <c r="AX69" s="97"/>
      <c r="AY69" s="97"/>
      <c r="AZ69" s="97"/>
      <c r="BA69" s="97"/>
      <c r="BB69" s="97"/>
    </row>
    <row r="70">
      <c r="A70" s="67"/>
      <c r="B70" s="67"/>
      <c r="C70" s="67"/>
      <c r="D70" s="67"/>
      <c r="E70" s="67"/>
      <c r="F70" s="67"/>
      <c r="G70" s="9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97"/>
      <c r="AT70" s="97"/>
      <c r="AU70" s="97"/>
      <c r="AV70" s="97"/>
      <c r="AW70" s="97"/>
      <c r="AX70" s="97"/>
      <c r="AY70" s="97"/>
      <c r="AZ70" s="97"/>
      <c r="BA70" s="97"/>
      <c r="BB70" s="97"/>
    </row>
    <row r="71">
      <c r="A71" s="67"/>
      <c r="B71" s="67"/>
      <c r="C71" s="67"/>
      <c r="D71" s="67"/>
      <c r="E71" s="67"/>
      <c r="F71" s="67"/>
      <c r="G71" s="9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97"/>
      <c r="AT71" s="97"/>
      <c r="AU71" s="97"/>
      <c r="AV71" s="97"/>
      <c r="AW71" s="97"/>
      <c r="AX71" s="97"/>
      <c r="AY71" s="97"/>
      <c r="AZ71" s="97"/>
      <c r="BA71" s="97"/>
      <c r="BB71" s="97"/>
    </row>
    <row r="72">
      <c r="A72" s="67"/>
      <c r="B72" s="67"/>
      <c r="C72" s="67"/>
      <c r="D72" s="67"/>
      <c r="E72" s="67"/>
      <c r="F72" s="67"/>
      <c r="G72" s="9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97"/>
      <c r="AT72" s="97"/>
      <c r="AU72" s="97"/>
      <c r="AV72" s="97"/>
      <c r="AW72" s="97"/>
      <c r="AX72" s="97"/>
      <c r="AY72" s="97"/>
      <c r="AZ72" s="97"/>
      <c r="BA72" s="97"/>
      <c r="BB72" s="97"/>
    </row>
    <row r="73">
      <c r="A73" s="67"/>
      <c r="B73" s="67"/>
      <c r="C73" s="67"/>
      <c r="D73" s="67"/>
      <c r="E73" s="67"/>
      <c r="F73" s="67"/>
      <c r="G73" s="9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97"/>
      <c r="AT73" s="97"/>
      <c r="AU73" s="97"/>
      <c r="AV73" s="97"/>
      <c r="AW73" s="97"/>
      <c r="AX73" s="97"/>
      <c r="AY73" s="97"/>
      <c r="AZ73" s="97"/>
      <c r="BA73" s="97"/>
      <c r="BB73" s="97"/>
    </row>
    <row r="74">
      <c r="A74" s="67"/>
      <c r="B74" s="67"/>
      <c r="C74" s="67"/>
      <c r="D74" s="67"/>
      <c r="E74" s="67"/>
      <c r="F74" s="67"/>
      <c r="G74" s="9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97"/>
      <c r="AT74" s="97"/>
      <c r="AU74" s="97"/>
      <c r="AV74" s="97"/>
      <c r="AW74" s="97"/>
      <c r="AX74" s="97"/>
      <c r="AY74" s="97"/>
      <c r="AZ74" s="97"/>
      <c r="BA74" s="97"/>
      <c r="BB74" s="97"/>
    </row>
    <row r="75">
      <c r="A75" s="67"/>
      <c r="B75" s="67"/>
      <c r="C75" s="67"/>
      <c r="D75" s="67"/>
      <c r="E75" s="67"/>
      <c r="F75" s="67"/>
      <c r="G75" s="9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97"/>
      <c r="AT75" s="97"/>
      <c r="AU75" s="97"/>
      <c r="AV75" s="97"/>
      <c r="AW75" s="97"/>
      <c r="AX75" s="97"/>
      <c r="AY75" s="97"/>
      <c r="AZ75" s="97"/>
      <c r="BA75" s="97"/>
      <c r="BB75" s="97"/>
    </row>
    <row r="76">
      <c r="A76" s="67"/>
      <c r="B76" s="67"/>
      <c r="C76" s="67"/>
      <c r="D76" s="67"/>
      <c r="E76" s="67"/>
      <c r="F76" s="67"/>
      <c r="G76" s="9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97"/>
      <c r="AT76" s="97"/>
      <c r="AU76" s="97"/>
      <c r="AV76" s="97"/>
      <c r="AW76" s="97"/>
      <c r="AX76" s="97"/>
      <c r="AY76" s="97"/>
      <c r="AZ76" s="97"/>
      <c r="BA76" s="97"/>
      <c r="BB76" s="97"/>
    </row>
    <row r="77">
      <c r="A77" s="67"/>
      <c r="B77" s="67"/>
      <c r="C77" s="67"/>
      <c r="D77" s="67"/>
      <c r="E77" s="67"/>
      <c r="F77" s="67"/>
      <c r="G77" s="9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97"/>
      <c r="AT77" s="97"/>
      <c r="AU77" s="97"/>
      <c r="AV77" s="97"/>
      <c r="AW77" s="97"/>
      <c r="AX77" s="97"/>
      <c r="AY77" s="97"/>
      <c r="AZ77" s="97"/>
      <c r="BA77" s="97"/>
      <c r="BB77" s="97"/>
    </row>
    <row r="78">
      <c r="A78" s="67"/>
      <c r="B78" s="67"/>
      <c r="C78" s="67"/>
      <c r="D78" s="67"/>
      <c r="E78" s="67"/>
      <c r="F78" s="67"/>
      <c r="G78" s="9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97"/>
      <c r="AT78" s="97"/>
      <c r="AU78" s="97"/>
      <c r="AV78" s="97"/>
      <c r="AW78" s="97"/>
      <c r="AX78" s="97"/>
      <c r="AY78" s="97"/>
      <c r="AZ78" s="97"/>
      <c r="BA78" s="97"/>
      <c r="BB78" s="97"/>
    </row>
    <row r="79">
      <c r="A79" s="67"/>
      <c r="B79" s="67"/>
      <c r="C79" s="67"/>
      <c r="D79" s="67"/>
      <c r="E79" s="67"/>
      <c r="F79" s="67"/>
      <c r="G79" s="9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97"/>
      <c r="AT79" s="97"/>
      <c r="AU79" s="97"/>
      <c r="AV79" s="97"/>
      <c r="AW79" s="97"/>
      <c r="AX79" s="97"/>
      <c r="AY79" s="97"/>
      <c r="AZ79" s="97"/>
      <c r="BA79" s="97"/>
      <c r="BB79" s="97"/>
    </row>
    <row r="80">
      <c r="A80" s="67"/>
      <c r="B80" s="67"/>
      <c r="C80" s="67"/>
      <c r="D80" s="67"/>
      <c r="E80" s="67"/>
      <c r="F80" s="67"/>
      <c r="G80" s="9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97"/>
      <c r="AT80" s="97"/>
      <c r="AU80" s="97"/>
      <c r="AV80" s="97"/>
      <c r="AW80" s="97"/>
      <c r="AX80" s="97"/>
      <c r="AY80" s="97"/>
      <c r="AZ80" s="97"/>
      <c r="BA80" s="97"/>
      <c r="BB80" s="97"/>
    </row>
    <row r="81">
      <c r="A81" s="67"/>
      <c r="B81" s="67"/>
      <c r="C81" s="67"/>
      <c r="D81" s="67"/>
      <c r="E81" s="67"/>
      <c r="F81" s="67"/>
      <c r="G81" s="9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97"/>
      <c r="AT81" s="97"/>
      <c r="AU81" s="97"/>
      <c r="AV81" s="97"/>
      <c r="AW81" s="97"/>
      <c r="AX81" s="97"/>
      <c r="AY81" s="97"/>
      <c r="AZ81" s="97"/>
      <c r="BA81" s="97"/>
      <c r="BB81" s="97"/>
    </row>
    <row r="82">
      <c r="A82" s="67"/>
      <c r="B82" s="67"/>
      <c r="C82" s="67"/>
      <c r="D82" s="67"/>
      <c r="E82" s="67"/>
      <c r="F82" s="67"/>
      <c r="G82" s="9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97"/>
      <c r="AT82" s="97"/>
      <c r="AU82" s="97"/>
      <c r="AV82" s="97"/>
      <c r="AW82" s="97"/>
      <c r="AX82" s="97"/>
      <c r="AY82" s="97"/>
      <c r="AZ82" s="97"/>
      <c r="BA82" s="97"/>
      <c r="BB82" s="97"/>
    </row>
    <row r="83">
      <c r="A83" s="67"/>
      <c r="B83" s="67"/>
      <c r="C83" s="67"/>
      <c r="D83" s="67"/>
      <c r="E83" s="67"/>
      <c r="F83" s="67"/>
      <c r="G83" s="9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97"/>
      <c r="AT83" s="97"/>
      <c r="AU83" s="97"/>
      <c r="AV83" s="97"/>
      <c r="AW83" s="97"/>
      <c r="AX83" s="97"/>
      <c r="AY83" s="97"/>
      <c r="AZ83" s="97"/>
      <c r="BA83" s="97"/>
      <c r="BB83" s="97"/>
    </row>
    <row r="84">
      <c r="A84" s="67"/>
      <c r="B84" s="67"/>
      <c r="C84" s="67"/>
      <c r="D84" s="67"/>
      <c r="E84" s="67"/>
      <c r="F84" s="67"/>
      <c r="G84" s="9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97"/>
      <c r="AT84" s="97"/>
      <c r="AU84" s="97"/>
      <c r="AV84" s="97"/>
      <c r="AW84" s="97"/>
      <c r="AX84" s="97"/>
      <c r="AY84" s="97"/>
      <c r="AZ84" s="97"/>
      <c r="BA84" s="97"/>
      <c r="BB84" s="97"/>
    </row>
    <row r="85">
      <c r="A85" s="67"/>
      <c r="B85" s="67"/>
      <c r="C85" s="67"/>
      <c r="D85" s="67"/>
      <c r="E85" s="67"/>
      <c r="F85" s="67"/>
      <c r="G85" s="9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97"/>
      <c r="AT85" s="97"/>
      <c r="AU85" s="97"/>
      <c r="AV85" s="97"/>
      <c r="AW85" s="97"/>
      <c r="AX85" s="97"/>
      <c r="AY85" s="97"/>
      <c r="AZ85" s="97"/>
      <c r="BA85" s="97"/>
      <c r="BB85" s="97"/>
    </row>
    <row r="86">
      <c r="A86" s="97"/>
      <c r="B86" s="97"/>
      <c r="C86" s="97"/>
      <c r="D86" s="97"/>
      <c r="E86" s="97"/>
      <c r="F86" s="97"/>
      <c r="G86" s="98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</row>
    <row r="87">
      <c r="A87" s="97"/>
      <c r="B87" s="97"/>
      <c r="C87" s="97"/>
      <c r="D87" s="97"/>
      <c r="E87" s="97"/>
      <c r="F87" s="97"/>
      <c r="G87" s="98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</row>
    <row r="88">
      <c r="A88" s="97"/>
      <c r="B88" s="97"/>
      <c r="C88" s="97"/>
      <c r="D88" s="97"/>
      <c r="E88" s="97"/>
      <c r="F88" s="97"/>
      <c r="G88" s="9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</row>
    <row r="89">
      <c r="A89" s="97"/>
      <c r="B89" s="97"/>
      <c r="C89" s="97"/>
      <c r="D89" s="97"/>
      <c r="E89" s="97"/>
      <c r="F89" s="97"/>
      <c r="G89" s="98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</row>
    <row r="90">
      <c r="A90" s="97"/>
      <c r="B90" s="97"/>
      <c r="C90" s="97"/>
      <c r="D90" s="97"/>
      <c r="E90" s="97"/>
      <c r="F90" s="97"/>
      <c r="G90" s="98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</row>
    <row r="91">
      <c r="A91" s="97"/>
      <c r="B91" s="97"/>
      <c r="C91" s="97"/>
      <c r="D91" s="97"/>
      <c r="E91" s="97"/>
      <c r="F91" s="97"/>
      <c r="G91" s="98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</row>
    <row r="92">
      <c r="A92" s="97"/>
      <c r="B92" s="97"/>
      <c r="C92" s="97"/>
      <c r="D92" s="97"/>
      <c r="E92" s="97"/>
      <c r="F92" s="97"/>
      <c r="G92" s="98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</row>
    <row r="93">
      <c r="A93" s="97"/>
      <c r="B93" s="97"/>
      <c r="C93" s="97"/>
      <c r="D93" s="97"/>
      <c r="E93" s="97"/>
      <c r="F93" s="97"/>
      <c r="G93" s="98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</row>
    <row r="94">
      <c r="A94" s="97"/>
      <c r="B94" s="97"/>
      <c r="C94" s="97"/>
      <c r="D94" s="97"/>
      <c r="E94" s="97"/>
      <c r="F94" s="97"/>
      <c r="G94" s="98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</row>
    <row r="95">
      <c r="A95" s="97"/>
      <c r="B95" s="97"/>
      <c r="C95" s="97"/>
      <c r="D95" s="97"/>
      <c r="E95" s="97"/>
      <c r="F95" s="97"/>
      <c r="G95" s="98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</row>
    <row r="96">
      <c r="A96" s="97"/>
      <c r="B96" s="97"/>
      <c r="C96" s="97"/>
      <c r="D96" s="97"/>
      <c r="E96" s="97"/>
      <c r="F96" s="97"/>
      <c r="G96" s="98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</row>
    <row r="97">
      <c r="A97" s="97"/>
      <c r="B97" s="97"/>
      <c r="C97" s="97"/>
      <c r="D97" s="97"/>
      <c r="E97" s="97"/>
      <c r="F97" s="97"/>
      <c r="G97" s="98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</row>
    <row r="98">
      <c r="A98" s="97"/>
      <c r="B98" s="97"/>
      <c r="C98" s="97"/>
      <c r="D98" s="97"/>
      <c r="E98" s="97"/>
      <c r="F98" s="97"/>
      <c r="G98" s="98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</row>
    <row r="99">
      <c r="A99" s="97"/>
      <c r="B99" s="97"/>
      <c r="C99" s="97"/>
      <c r="D99" s="97"/>
      <c r="E99" s="97"/>
      <c r="F99" s="97"/>
      <c r="G99" s="98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</row>
    <row r="100">
      <c r="A100" s="97"/>
      <c r="B100" s="97"/>
      <c r="C100" s="97"/>
      <c r="D100" s="97"/>
      <c r="E100" s="97"/>
      <c r="F100" s="97"/>
      <c r="G100" s="98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</row>
    <row r="101">
      <c r="A101" s="97"/>
      <c r="B101" s="97"/>
      <c r="C101" s="97"/>
      <c r="D101" s="97"/>
      <c r="E101" s="97"/>
      <c r="F101" s="97"/>
      <c r="G101" s="98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</row>
    <row r="102">
      <c r="A102" s="97"/>
      <c r="B102" s="97"/>
      <c r="C102" s="97"/>
      <c r="D102" s="97"/>
      <c r="E102" s="97"/>
      <c r="F102" s="97"/>
      <c r="G102" s="98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</row>
    <row r="103">
      <c r="A103" s="97"/>
      <c r="B103" s="97"/>
      <c r="C103" s="97"/>
      <c r="D103" s="97"/>
      <c r="E103" s="97"/>
      <c r="F103" s="97"/>
      <c r="G103" s="98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</row>
    <row r="104">
      <c r="A104" s="97"/>
      <c r="B104" s="97"/>
      <c r="C104" s="97"/>
      <c r="D104" s="97"/>
      <c r="E104" s="97"/>
      <c r="F104" s="97"/>
      <c r="G104" s="98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</row>
    <row r="105">
      <c r="A105" s="97"/>
      <c r="B105" s="97"/>
      <c r="C105" s="97"/>
      <c r="D105" s="97"/>
      <c r="E105" s="97"/>
      <c r="F105" s="97"/>
      <c r="G105" s="98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</row>
    <row r="106">
      <c r="A106" s="97"/>
      <c r="B106" s="97"/>
      <c r="C106" s="97"/>
      <c r="D106" s="97"/>
      <c r="E106" s="97"/>
      <c r="F106" s="97"/>
      <c r="G106" s="98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</row>
    <row r="107">
      <c r="A107" s="97"/>
      <c r="B107" s="97"/>
      <c r="C107" s="97"/>
      <c r="D107" s="97"/>
      <c r="E107" s="97"/>
      <c r="F107" s="97"/>
      <c r="G107" s="98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</row>
    <row r="108">
      <c r="A108" s="97"/>
      <c r="B108" s="97"/>
      <c r="C108" s="97"/>
      <c r="D108" s="97"/>
      <c r="E108" s="97"/>
      <c r="F108" s="97"/>
      <c r="G108" s="98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</row>
    <row r="109">
      <c r="A109" s="97"/>
      <c r="B109" s="97"/>
      <c r="C109" s="97"/>
      <c r="D109" s="97"/>
      <c r="E109" s="97"/>
      <c r="F109" s="97"/>
      <c r="G109" s="98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</row>
    <row r="110">
      <c r="A110" s="97"/>
      <c r="B110" s="97"/>
      <c r="C110" s="97"/>
      <c r="D110" s="97"/>
      <c r="E110" s="97"/>
      <c r="F110" s="97"/>
      <c r="G110" s="98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</row>
    <row r="111">
      <c r="A111" s="97"/>
      <c r="B111" s="97"/>
      <c r="C111" s="97"/>
      <c r="D111" s="97"/>
      <c r="E111" s="97"/>
      <c r="F111" s="97"/>
      <c r="G111" s="98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</row>
    <row r="112">
      <c r="A112" s="97"/>
      <c r="B112" s="97"/>
      <c r="C112" s="97"/>
      <c r="D112" s="97"/>
      <c r="E112" s="97"/>
      <c r="F112" s="97"/>
      <c r="G112" s="98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</row>
    <row r="113">
      <c r="A113" s="97"/>
      <c r="B113" s="97"/>
      <c r="C113" s="97"/>
      <c r="D113" s="97"/>
      <c r="E113" s="97"/>
      <c r="F113" s="97"/>
      <c r="G113" s="98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</row>
    <row r="114">
      <c r="A114" s="97"/>
      <c r="B114" s="97"/>
      <c r="C114" s="97"/>
      <c r="D114" s="97"/>
      <c r="E114" s="97"/>
      <c r="F114" s="97"/>
      <c r="G114" s="98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</row>
    <row r="115">
      <c r="A115" s="97"/>
      <c r="B115" s="97"/>
      <c r="C115" s="97"/>
      <c r="D115" s="97"/>
      <c r="E115" s="97"/>
      <c r="F115" s="97"/>
      <c r="G115" s="98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</row>
    <row r="116">
      <c r="A116" s="97"/>
      <c r="B116" s="97"/>
      <c r="C116" s="97"/>
      <c r="D116" s="97"/>
      <c r="E116" s="97"/>
      <c r="F116" s="97"/>
      <c r="G116" s="98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</row>
    <row r="117">
      <c r="A117" s="97"/>
      <c r="B117" s="97"/>
      <c r="C117" s="97"/>
      <c r="D117" s="97"/>
      <c r="E117" s="97"/>
      <c r="F117" s="97"/>
      <c r="G117" s="98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</row>
    <row r="118">
      <c r="A118" s="97"/>
      <c r="B118" s="97"/>
      <c r="C118" s="97"/>
      <c r="D118" s="97"/>
      <c r="E118" s="97"/>
      <c r="F118" s="97"/>
      <c r="G118" s="98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</row>
    <row r="119">
      <c r="A119" s="97"/>
      <c r="B119" s="97"/>
      <c r="C119" s="97"/>
      <c r="D119" s="97"/>
      <c r="E119" s="97"/>
      <c r="F119" s="97"/>
      <c r="G119" s="98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</row>
    <row r="120">
      <c r="A120" s="97"/>
      <c r="B120" s="97"/>
      <c r="C120" s="97"/>
      <c r="D120" s="97"/>
      <c r="E120" s="97"/>
      <c r="F120" s="97"/>
      <c r="G120" s="98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</row>
    <row r="121">
      <c r="A121" s="97"/>
      <c r="B121" s="97"/>
      <c r="C121" s="97"/>
      <c r="D121" s="97"/>
      <c r="E121" s="97"/>
      <c r="F121" s="97"/>
      <c r="G121" s="98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</row>
    <row r="122">
      <c r="A122" s="97"/>
      <c r="B122" s="97"/>
      <c r="C122" s="97"/>
      <c r="D122" s="97"/>
      <c r="E122" s="97"/>
      <c r="F122" s="97"/>
      <c r="G122" s="98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</row>
    <row r="123">
      <c r="A123" s="97"/>
      <c r="B123" s="97"/>
      <c r="C123" s="97"/>
      <c r="D123" s="97"/>
      <c r="E123" s="97"/>
      <c r="F123" s="97"/>
      <c r="G123" s="98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</row>
    <row r="124">
      <c r="A124" s="97"/>
      <c r="B124" s="97"/>
      <c r="C124" s="97"/>
      <c r="D124" s="97"/>
      <c r="E124" s="97"/>
      <c r="F124" s="97"/>
      <c r="G124" s="98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</row>
    <row r="125">
      <c r="A125" s="97"/>
      <c r="B125" s="97"/>
      <c r="C125" s="97"/>
      <c r="D125" s="97"/>
      <c r="E125" s="97"/>
      <c r="F125" s="97"/>
      <c r="G125" s="98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</row>
    <row r="126">
      <c r="A126" s="97"/>
      <c r="B126" s="97"/>
      <c r="C126" s="97"/>
      <c r="D126" s="97"/>
      <c r="E126" s="97"/>
      <c r="F126" s="97"/>
      <c r="G126" s="98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</row>
    <row r="127">
      <c r="A127" s="97"/>
      <c r="B127" s="97"/>
      <c r="C127" s="97"/>
      <c r="D127" s="97"/>
      <c r="E127" s="97"/>
      <c r="F127" s="97"/>
      <c r="G127" s="98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</row>
    <row r="128">
      <c r="A128" s="97"/>
      <c r="B128" s="97"/>
      <c r="C128" s="97"/>
      <c r="D128" s="97"/>
      <c r="E128" s="97"/>
      <c r="F128" s="97"/>
      <c r="G128" s="98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</row>
    <row r="129">
      <c r="A129" s="97"/>
      <c r="B129" s="97"/>
      <c r="C129" s="97"/>
      <c r="D129" s="97"/>
      <c r="E129" s="97"/>
      <c r="F129" s="97"/>
      <c r="G129" s="98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</row>
    <row r="130">
      <c r="A130" s="97"/>
      <c r="B130" s="97"/>
      <c r="C130" s="97"/>
      <c r="D130" s="97"/>
      <c r="E130" s="97"/>
      <c r="F130" s="97"/>
      <c r="G130" s="98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</row>
    <row r="131">
      <c r="A131" s="97"/>
      <c r="B131" s="97"/>
      <c r="C131" s="97"/>
      <c r="D131" s="97"/>
      <c r="E131" s="97"/>
      <c r="F131" s="97"/>
      <c r="G131" s="98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</row>
    <row r="132">
      <c r="A132" s="97"/>
      <c r="B132" s="97"/>
      <c r="C132" s="97"/>
      <c r="D132" s="97"/>
      <c r="E132" s="97"/>
      <c r="F132" s="97"/>
      <c r="G132" s="98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</row>
    <row r="133">
      <c r="A133" s="97"/>
      <c r="B133" s="97"/>
      <c r="C133" s="97"/>
      <c r="D133" s="97"/>
      <c r="E133" s="97"/>
      <c r="F133" s="97"/>
      <c r="G133" s="98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</row>
    <row r="134">
      <c r="A134" s="97"/>
      <c r="B134" s="97"/>
      <c r="C134" s="97"/>
      <c r="D134" s="97"/>
      <c r="E134" s="97"/>
      <c r="F134" s="97"/>
      <c r="G134" s="98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</row>
    <row r="135">
      <c r="A135" s="97"/>
      <c r="B135" s="97"/>
      <c r="C135" s="97"/>
      <c r="D135" s="97"/>
      <c r="E135" s="97"/>
      <c r="F135" s="97"/>
      <c r="G135" s="98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</row>
    <row r="136">
      <c r="A136" s="97"/>
      <c r="B136" s="97"/>
      <c r="C136" s="97"/>
      <c r="D136" s="97"/>
      <c r="E136" s="97"/>
      <c r="F136" s="97"/>
      <c r="G136" s="98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</row>
    <row r="137">
      <c r="A137" s="97"/>
      <c r="B137" s="97"/>
      <c r="C137" s="97"/>
      <c r="D137" s="97"/>
      <c r="E137" s="97"/>
      <c r="F137" s="97"/>
      <c r="G137" s="98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</row>
    <row r="138">
      <c r="A138" s="97"/>
      <c r="B138" s="97"/>
      <c r="C138" s="97"/>
      <c r="D138" s="97"/>
      <c r="E138" s="97"/>
      <c r="F138" s="97"/>
      <c r="G138" s="98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</row>
    <row r="139">
      <c r="A139" s="97"/>
      <c r="B139" s="97"/>
      <c r="C139" s="97"/>
      <c r="D139" s="97"/>
      <c r="E139" s="97"/>
      <c r="F139" s="97"/>
      <c r="G139" s="98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</row>
    <row r="140">
      <c r="A140" s="97"/>
      <c r="B140" s="97"/>
      <c r="C140" s="97"/>
      <c r="D140" s="97"/>
      <c r="E140" s="97"/>
      <c r="F140" s="97"/>
      <c r="G140" s="98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</row>
    <row r="141">
      <c r="A141" s="97"/>
      <c r="B141" s="97"/>
      <c r="C141" s="97"/>
      <c r="D141" s="97"/>
      <c r="E141" s="97"/>
      <c r="F141" s="97"/>
      <c r="G141" s="98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</row>
    <row r="142">
      <c r="A142" s="97"/>
      <c r="B142" s="97"/>
      <c r="C142" s="97"/>
      <c r="D142" s="97"/>
      <c r="E142" s="97"/>
      <c r="F142" s="97"/>
      <c r="G142" s="98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</row>
    <row r="143">
      <c r="A143" s="97"/>
      <c r="B143" s="97"/>
      <c r="C143" s="97"/>
      <c r="D143" s="97"/>
      <c r="E143" s="97"/>
      <c r="F143" s="97"/>
      <c r="G143" s="98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</row>
    <row r="144">
      <c r="A144" s="97"/>
      <c r="B144" s="97"/>
      <c r="C144" s="97"/>
      <c r="D144" s="97"/>
      <c r="E144" s="97"/>
      <c r="F144" s="97"/>
      <c r="G144" s="98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</row>
    <row r="145">
      <c r="A145" s="97"/>
      <c r="B145" s="97"/>
      <c r="C145" s="97"/>
      <c r="D145" s="97"/>
      <c r="E145" s="97"/>
      <c r="F145" s="97"/>
      <c r="G145" s="98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</row>
    <row r="146">
      <c r="A146" s="97"/>
      <c r="B146" s="97"/>
      <c r="C146" s="97"/>
      <c r="D146" s="97"/>
      <c r="E146" s="97"/>
      <c r="F146" s="97"/>
      <c r="G146" s="98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</row>
    <row r="147">
      <c r="A147" s="97"/>
      <c r="B147" s="97"/>
      <c r="C147" s="97"/>
      <c r="D147" s="97"/>
      <c r="E147" s="97"/>
      <c r="F147" s="97"/>
      <c r="G147" s="98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</row>
    <row r="148">
      <c r="A148" s="97"/>
      <c r="B148" s="97"/>
      <c r="C148" s="97"/>
      <c r="D148" s="97"/>
      <c r="E148" s="97"/>
      <c r="F148" s="97"/>
      <c r="G148" s="98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</row>
    <row r="149">
      <c r="A149" s="97"/>
      <c r="B149" s="97"/>
      <c r="C149" s="97"/>
      <c r="D149" s="97"/>
      <c r="E149" s="97"/>
      <c r="F149" s="97"/>
      <c r="G149" s="98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</row>
    <row r="150">
      <c r="A150" s="97"/>
      <c r="B150" s="97"/>
      <c r="C150" s="97"/>
      <c r="D150" s="97"/>
      <c r="E150" s="97"/>
      <c r="F150" s="97"/>
      <c r="G150" s="98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</row>
    <row r="151">
      <c r="A151" s="97"/>
      <c r="B151" s="97"/>
      <c r="C151" s="97"/>
      <c r="D151" s="97"/>
      <c r="E151" s="97"/>
      <c r="F151" s="97"/>
      <c r="G151" s="98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</row>
    <row r="152">
      <c r="A152" s="97"/>
      <c r="B152" s="97"/>
      <c r="C152" s="97"/>
      <c r="D152" s="97"/>
      <c r="E152" s="97"/>
      <c r="F152" s="97"/>
      <c r="G152" s="98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</row>
    <row r="153">
      <c r="A153" s="97"/>
      <c r="B153" s="97"/>
      <c r="C153" s="97"/>
      <c r="D153" s="97"/>
      <c r="E153" s="97"/>
      <c r="F153" s="97"/>
      <c r="G153" s="98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</row>
    <row r="154">
      <c r="A154" s="97"/>
      <c r="B154" s="97"/>
      <c r="C154" s="97"/>
      <c r="D154" s="97"/>
      <c r="E154" s="97"/>
      <c r="F154" s="97"/>
      <c r="G154" s="98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</row>
    <row r="155">
      <c r="A155" s="97"/>
      <c r="B155" s="97"/>
      <c r="C155" s="97"/>
      <c r="D155" s="97"/>
      <c r="E155" s="97"/>
      <c r="F155" s="97"/>
      <c r="G155" s="98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</row>
    <row r="156">
      <c r="A156" s="97"/>
      <c r="B156" s="97"/>
      <c r="C156" s="97"/>
      <c r="D156" s="97"/>
      <c r="E156" s="97"/>
      <c r="F156" s="97"/>
      <c r="G156" s="98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</row>
    <row r="157">
      <c r="A157" s="97"/>
      <c r="B157" s="97"/>
      <c r="C157" s="97"/>
      <c r="D157" s="97"/>
      <c r="E157" s="97"/>
      <c r="F157" s="97"/>
      <c r="G157" s="98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</row>
    <row r="158">
      <c r="A158" s="97"/>
      <c r="B158" s="97"/>
      <c r="C158" s="97"/>
      <c r="D158" s="97"/>
      <c r="E158" s="97"/>
      <c r="F158" s="97"/>
      <c r="G158" s="98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</row>
    <row r="159">
      <c r="A159" s="97"/>
      <c r="B159" s="97"/>
      <c r="C159" s="97"/>
      <c r="D159" s="97"/>
      <c r="E159" s="97"/>
      <c r="F159" s="97"/>
      <c r="G159" s="98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</row>
    <row r="160">
      <c r="A160" s="97"/>
      <c r="B160" s="97"/>
      <c r="C160" s="97"/>
      <c r="D160" s="97"/>
      <c r="E160" s="97"/>
      <c r="F160" s="97"/>
      <c r="G160" s="98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</row>
    <row r="161">
      <c r="A161" s="97"/>
      <c r="B161" s="97"/>
      <c r="C161" s="97"/>
      <c r="D161" s="97"/>
      <c r="E161" s="97"/>
      <c r="F161" s="97"/>
      <c r="G161" s="98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</row>
    <row r="162">
      <c r="A162" s="97"/>
      <c r="B162" s="97"/>
      <c r="C162" s="97"/>
      <c r="D162" s="97"/>
      <c r="E162" s="97"/>
      <c r="F162" s="97"/>
      <c r="G162" s="98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</row>
    <row r="163">
      <c r="A163" s="97"/>
      <c r="B163" s="97"/>
      <c r="C163" s="97"/>
      <c r="D163" s="97"/>
      <c r="E163" s="97"/>
      <c r="F163" s="97"/>
      <c r="G163" s="98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</row>
    <row r="164">
      <c r="A164" s="97"/>
      <c r="B164" s="97"/>
      <c r="C164" s="97"/>
      <c r="D164" s="97"/>
      <c r="E164" s="97"/>
      <c r="F164" s="97"/>
      <c r="G164" s="98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</row>
    <row r="165">
      <c r="A165" s="97"/>
      <c r="B165" s="97"/>
      <c r="C165" s="97"/>
      <c r="D165" s="97"/>
      <c r="E165" s="97"/>
      <c r="F165" s="97"/>
      <c r="G165" s="98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</row>
    <row r="166">
      <c r="A166" s="97"/>
      <c r="B166" s="97"/>
      <c r="C166" s="97"/>
      <c r="D166" s="97"/>
      <c r="E166" s="97"/>
      <c r="F166" s="97"/>
      <c r="G166" s="98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</row>
    <row r="167">
      <c r="A167" s="97"/>
      <c r="B167" s="97"/>
      <c r="C167" s="97"/>
      <c r="D167" s="97"/>
      <c r="E167" s="97"/>
      <c r="F167" s="97"/>
      <c r="G167" s="98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</row>
    <row r="168">
      <c r="A168" s="97"/>
      <c r="B168" s="97"/>
      <c r="C168" s="97"/>
      <c r="D168" s="97"/>
      <c r="E168" s="97"/>
      <c r="F168" s="97"/>
      <c r="G168" s="98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</row>
    <row r="169">
      <c r="A169" s="97"/>
      <c r="B169" s="97"/>
      <c r="C169" s="97"/>
      <c r="D169" s="97"/>
      <c r="E169" s="97"/>
      <c r="F169" s="97"/>
      <c r="G169" s="98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</row>
    <row r="170">
      <c r="A170" s="97"/>
      <c r="B170" s="97"/>
      <c r="C170" s="97"/>
      <c r="D170" s="97"/>
      <c r="E170" s="97"/>
      <c r="F170" s="97"/>
      <c r="G170" s="98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</row>
    <row r="171">
      <c r="A171" s="97"/>
      <c r="B171" s="97"/>
      <c r="C171" s="97"/>
      <c r="D171" s="97"/>
      <c r="E171" s="97"/>
      <c r="F171" s="97"/>
      <c r="G171" s="98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</row>
    <row r="172">
      <c r="A172" s="97"/>
      <c r="B172" s="97"/>
      <c r="C172" s="97"/>
      <c r="D172" s="97"/>
      <c r="E172" s="97"/>
      <c r="F172" s="97"/>
      <c r="G172" s="98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</row>
    <row r="173">
      <c r="A173" s="97"/>
      <c r="B173" s="97"/>
      <c r="C173" s="97"/>
      <c r="D173" s="97"/>
      <c r="E173" s="97"/>
      <c r="F173" s="97"/>
      <c r="G173" s="98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</row>
    <row r="174">
      <c r="A174" s="97"/>
      <c r="B174" s="97"/>
      <c r="C174" s="97"/>
      <c r="D174" s="97"/>
      <c r="E174" s="97"/>
      <c r="F174" s="97"/>
      <c r="G174" s="98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</row>
    <row r="175">
      <c r="A175" s="97"/>
      <c r="B175" s="97"/>
      <c r="C175" s="97"/>
      <c r="D175" s="97"/>
      <c r="E175" s="97"/>
      <c r="F175" s="97"/>
      <c r="G175" s="98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</row>
    <row r="176">
      <c r="A176" s="97"/>
      <c r="B176" s="97"/>
      <c r="C176" s="97"/>
      <c r="D176" s="97"/>
      <c r="E176" s="97"/>
      <c r="F176" s="97"/>
      <c r="G176" s="98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</row>
    <row r="177">
      <c r="A177" s="97"/>
      <c r="B177" s="97"/>
      <c r="C177" s="97"/>
      <c r="D177" s="97"/>
      <c r="E177" s="97"/>
      <c r="F177" s="97"/>
      <c r="G177" s="98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</row>
    <row r="178">
      <c r="A178" s="97"/>
      <c r="B178" s="97"/>
      <c r="C178" s="97"/>
      <c r="D178" s="97"/>
      <c r="E178" s="97"/>
      <c r="F178" s="97"/>
      <c r="G178" s="98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</row>
    <row r="179">
      <c r="A179" s="97"/>
      <c r="B179" s="97"/>
      <c r="C179" s="97"/>
      <c r="D179" s="97"/>
      <c r="E179" s="97"/>
      <c r="F179" s="97"/>
      <c r="G179" s="98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</row>
    <row r="180">
      <c r="A180" s="97"/>
      <c r="B180" s="97"/>
      <c r="C180" s="97"/>
      <c r="D180" s="97"/>
      <c r="E180" s="97"/>
      <c r="F180" s="97"/>
      <c r="G180" s="98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</row>
    <row r="181">
      <c r="A181" s="97"/>
      <c r="B181" s="97"/>
      <c r="C181" s="97"/>
      <c r="D181" s="97"/>
      <c r="E181" s="97"/>
      <c r="F181" s="97"/>
      <c r="G181" s="98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</row>
    <row r="182">
      <c r="A182" s="97"/>
      <c r="B182" s="97"/>
      <c r="C182" s="97"/>
      <c r="D182" s="97"/>
      <c r="E182" s="97"/>
      <c r="F182" s="97"/>
      <c r="G182" s="98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</row>
    <row r="183">
      <c r="A183" s="97"/>
      <c r="B183" s="97"/>
      <c r="C183" s="97"/>
      <c r="D183" s="97"/>
      <c r="E183" s="97"/>
      <c r="F183" s="97"/>
      <c r="G183" s="98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</row>
    <row r="184">
      <c r="A184" s="97"/>
      <c r="B184" s="97"/>
      <c r="C184" s="97"/>
      <c r="D184" s="97"/>
      <c r="E184" s="97"/>
      <c r="F184" s="97"/>
      <c r="G184" s="98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</row>
    <row r="185">
      <c r="A185" s="97"/>
      <c r="B185" s="97"/>
      <c r="C185" s="97"/>
      <c r="D185" s="97"/>
      <c r="E185" s="97"/>
      <c r="F185" s="97"/>
      <c r="G185" s="98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</row>
    <row r="186">
      <c r="A186" s="97"/>
      <c r="B186" s="97"/>
      <c r="C186" s="97"/>
      <c r="D186" s="97"/>
      <c r="E186" s="97"/>
      <c r="F186" s="97"/>
      <c r="G186" s="98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</row>
    <row r="187">
      <c r="A187" s="97"/>
      <c r="B187" s="97"/>
      <c r="C187" s="97"/>
      <c r="D187" s="97"/>
      <c r="E187" s="97"/>
      <c r="F187" s="97"/>
      <c r="G187" s="98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</row>
    <row r="188">
      <c r="A188" s="97"/>
      <c r="B188" s="97"/>
      <c r="C188" s="97"/>
      <c r="D188" s="97"/>
      <c r="E188" s="97"/>
      <c r="F188" s="97"/>
      <c r="G188" s="98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</row>
    <row r="189">
      <c r="A189" s="97"/>
      <c r="B189" s="97"/>
      <c r="C189" s="97"/>
      <c r="D189" s="97"/>
      <c r="E189" s="97"/>
      <c r="F189" s="97"/>
      <c r="G189" s="98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</row>
    <row r="190">
      <c r="A190" s="97"/>
      <c r="B190" s="97"/>
      <c r="C190" s="97"/>
      <c r="D190" s="97"/>
      <c r="E190" s="97"/>
      <c r="F190" s="97"/>
      <c r="G190" s="98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</row>
    <row r="191">
      <c r="A191" s="97"/>
      <c r="B191" s="97"/>
      <c r="C191" s="97"/>
      <c r="D191" s="97"/>
      <c r="E191" s="97"/>
      <c r="F191" s="97"/>
      <c r="G191" s="98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</row>
    <row r="192">
      <c r="A192" s="97"/>
      <c r="B192" s="97"/>
      <c r="C192" s="97"/>
      <c r="D192" s="97"/>
      <c r="E192" s="97"/>
      <c r="F192" s="97"/>
      <c r="G192" s="98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</row>
    <row r="193">
      <c r="A193" s="97"/>
      <c r="B193" s="97"/>
      <c r="C193" s="97"/>
      <c r="D193" s="97"/>
      <c r="E193" s="97"/>
      <c r="F193" s="97"/>
      <c r="G193" s="98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</row>
    <row r="194">
      <c r="A194" s="97"/>
      <c r="B194" s="97"/>
      <c r="C194" s="97"/>
      <c r="D194" s="97"/>
      <c r="E194" s="97"/>
      <c r="F194" s="97"/>
      <c r="G194" s="98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</row>
    <row r="195">
      <c r="A195" s="97"/>
      <c r="B195" s="97"/>
      <c r="C195" s="97"/>
      <c r="D195" s="97"/>
      <c r="E195" s="97"/>
      <c r="F195" s="97"/>
      <c r="G195" s="98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</row>
    <row r="196">
      <c r="A196" s="97"/>
      <c r="B196" s="97"/>
      <c r="C196" s="97"/>
      <c r="D196" s="97"/>
      <c r="E196" s="97"/>
      <c r="F196" s="97"/>
      <c r="G196" s="98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</row>
    <row r="197">
      <c r="A197" s="97"/>
      <c r="B197" s="97"/>
      <c r="C197" s="97"/>
      <c r="D197" s="97"/>
      <c r="E197" s="97"/>
      <c r="F197" s="97"/>
      <c r="G197" s="98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</row>
    <row r="198">
      <c r="A198" s="97"/>
      <c r="B198" s="97"/>
      <c r="C198" s="97"/>
      <c r="D198" s="97"/>
      <c r="E198" s="97"/>
      <c r="F198" s="97"/>
      <c r="G198" s="98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</row>
    <row r="199">
      <c r="A199" s="97"/>
      <c r="B199" s="97"/>
      <c r="C199" s="97"/>
      <c r="D199" s="97"/>
      <c r="E199" s="97"/>
      <c r="F199" s="97"/>
      <c r="G199" s="98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</row>
    <row r="200">
      <c r="A200" s="97"/>
      <c r="B200" s="97"/>
      <c r="C200" s="97"/>
      <c r="D200" s="97"/>
      <c r="E200" s="97"/>
      <c r="F200" s="97"/>
      <c r="G200" s="98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</row>
    <row r="201">
      <c r="A201" s="97"/>
      <c r="B201" s="97"/>
      <c r="C201" s="97"/>
      <c r="D201" s="97"/>
      <c r="E201" s="97"/>
      <c r="F201" s="97"/>
      <c r="G201" s="98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</row>
    <row r="202">
      <c r="A202" s="97"/>
      <c r="B202" s="97"/>
      <c r="C202" s="97"/>
      <c r="D202" s="97"/>
      <c r="E202" s="97"/>
      <c r="F202" s="97"/>
      <c r="G202" s="98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</row>
    <row r="203">
      <c r="A203" s="97"/>
      <c r="B203" s="97"/>
      <c r="C203" s="97"/>
      <c r="D203" s="97"/>
      <c r="E203" s="97"/>
      <c r="F203" s="97"/>
      <c r="G203" s="98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</row>
    <row r="204">
      <c r="A204" s="97"/>
      <c r="B204" s="97"/>
      <c r="C204" s="97"/>
      <c r="D204" s="97"/>
      <c r="E204" s="97"/>
      <c r="F204" s="97"/>
      <c r="G204" s="98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</row>
    <row r="205">
      <c r="A205" s="97"/>
      <c r="B205" s="97"/>
      <c r="C205" s="97"/>
      <c r="D205" s="97"/>
      <c r="E205" s="97"/>
      <c r="F205" s="97"/>
      <c r="G205" s="98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</row>
    <row r="206">
      <c r="A206" s="97"/>
      <c r="B206" s="97"/>
      <c r="C206" s="97"/>
      <c r="D206" s="97"/>
      <c r="E206" s="97"/>
      <c r="F206" s="97"/>
      <c r="G206" s="98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</row>
    <row r="207">
      <c r="A207" s="97"/>
      <c r="B207" s="97"/>
      <c r="C207" s="97"/>
      <c r="D207" s="97"/>
      <c r="E207" s="97"/>
      <c r="F207" s="97"/>
      <c r="G207" s="98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</row>
    <row r="208">
      <c r="A208" s="97"/>
      <c r="B208" s="97"/>
      <c r="C208" s="97"/>
      <c r="D208" s="97"/>
      <c r="E208" s="97"/>
      <c r="F208" s="97"/>
      <c r="G208" s="98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</row>
    <row r="209">
      <c r="A209" s="97"/>
      <c r="B209" s="97"/>
      <c r="C209" s="97"/>
      <c r="D209" s="97"/>
      <c r="E209" s="97"/>
      <c r="F209" s="97"/>
      <c r="G209" s="98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</row>
    <row r="210">
      <c r="A210" s="97"/>
      <c r="B210" s="97"/>
      <c r="C210" s="97"/>
      <c r="D210" s="97"/>
      <c r="E210" s="97"/>
      <c r="F210" s="97"/>
      <c r="G210" s="98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</row>
    <row r="211">
      <c r="A211" s="97"/>
      <c r="B211" s="97"/>
      <c r="C211" s="97"/>
      <c r="D211" s="97"/>
      <c r="E211" s="97"/>
      <c r="F211" s="97"/>
      <c r="G211" s="98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</row>
    <row r="212">
      <c r="A212" s="97"/>
      <c r="B212" s="97"/>
      <c r="C212" s="97"/>
      <c r="D212" s="97"/>
      <c r="E212" s="97"/>
      <c r="F212" s="97"/>
      <c r="G212" s="98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</row>
    <row r="213">
      <c r="A213" s="97"/>
      <c r="B213" s="97"/>
      <c r="C213" s="97"/>
      <c r="D213" s="97"/>
      <c r="E213" s="97"/>
      <c r="F213" s="97"/>
      <c r="G213" s="98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</row>
    <row r="214">
      <c r="A214" s="97"/>
      <c r="B214" s="97"/>
      <c r="C214" s="97"/>
      <c r="D214" s="97"/>
      <c r="E214" s="97"/>
      <c r="F214" s="97"/>
      <c r="G214" s="98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</row>
    <row r="215">
      <c r="A215" s="97"/>
      <c r="B215" s="97"/>
      <c r="C215" s="97"/>
      <c r="D215" s="97"/>
      <c r="E215" s="97"/>
      <c r="F215" s="97"/>
      <c r="G215" s="98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</row>
    <row r="216">
      <c r="A216" s="97"/>
      <c r="B216" s="97"/>
      <c r="C216" s="97"/>
      <c r="D216" s="97"/>
      <c r="E216" s="97"/>
      <c r="F216" s="97"/>
      <c r="G216" s="98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</row>
    <row r="217">
      <c r="A217" s="97"/>
      <c r="B217" s="97"/>
      <c r="C217" s="97"/>
      <c r="D217" s="97"/>
      <c r="E217" s="97"/>
      <c r="F217" s="97"/>
      <c r="G217" s="98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</row>
    <row r="218">
      <c r="A218" s="97"/>
      <c r="B218" s="97"/>
      <c r="C218" s="97"/>
      <c r="D218" s="97"/>
      <c r="E218" s="97"/>
      <c r="F218" s="97"/>
      <c r="G218" s="98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</row>
    <row r="219">
      <c r="A219" s="97"/>
      <c r="B219" s="97"/>
      <c r="C219" s="97"/>
      <c r="D219" s="97"/>
      <c r="E219" s="97"/>
      <c r="F219" s="97"/>
      <c r="G219" s="98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</row>
    <row r="220">
      <c r="A220" s="97"/>
      <c r="B220" s="97"/>
      <c r="C220" s="97"/>
      <c r="D220" s="97"/>
      <c r="E220" s="97"/>
      <c r="F220" s="97"/>
      <c r="G220" s="98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</row>
    <row r="221">
      <c r="A221" s="97"/>
      <c r="B221" s="97"/>
      <c r="C221" s="97"/>
      <c r="D221" s="97"/>
      <c r="E221" s="97"/>
      <c r="F221" s="97"/>
      <c r="G221" s="98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</row>
    <row r="222">
      <c r="A222" s="97"/>
      <c r="B222" s="97"/>
      <c r="C222" s="97"/>
      <c r="D222" s="97"/>
      <c r="E222" s="97"/>
      <c r="F222" s="97"/>
      <c r="G222" s="98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</row>
    <row r="223">
      <c r="A223" s="97"/>
      <c r="B223" s="97"/>
      <c r="C223" s="97"/>
      <c r="D223" s="97"/>
      <c r="E223" s="97"/>
      <c r="F223" s="97"/>
      <c r="G223" s="98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</row>
    <row r="224">
      <c r="A224" s="97"/>
      <c r="B224" s="97"/>
      <c r="C224" s="97"/>
      <c r="D224" s="97"/>
      <c r="E224" s="97"/>
      <c r="F224" s="97"/>
      <c r="G224" s="98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</row>
    <row r="225">
      <c r="A225" s="97"/>
      <c r="B225" s="97"/>
      <c r="C225" s="97"/>
      <c r="D225" s="97"/>
      <c r="E225" s="97"/>
      <c r="F225" s="97"/>
      <c r="G225" s="98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</row>
    <row r="226">
      <c r="A226" s="97"/>
      <c r="B226" s="97"/>
      <c r="C226" s="97"/>
      <c r="D226" s="97"/>
      <c r="E226" s="97"/>
      <c r="F226" s="97"/>
      <c r="G226" s="98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</row>
    <row r="227">
      <c r="A227" s="97"/>
      <c r="B227" s="97"/>
      <c r="C227" s="97"/>
      <c r="D227" s="97"/>
      <c r="E227" s="97"/>
      <c r="F227" s="97"/>
      <c r="G227" s="98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</row>
    <row r="228">
      <c r="A228" s="97"/>
      <c r="B228" s="97"/>
      <c r="C228" s="97"/>
      <c r="D228" s="97"/>
      <c r="E228" s="97"/>
      <c r="F228" s="97"/>
      <c r="G228" s="98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</row>
    <row r="229">
      <c r="A229" s="97"/>
      <c r="B229" s="97"/>
      <c r="C229" s="97"/>
      <c r="D229" s="97"/>
      <c r="E229" s="97"/>
      <c r="F229" s="97"/>
      <c r="G229" s="98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</row>
    <row r="230">
      <c r="A230" s="97"/>
      <c r="B230" s="97"/>
      <c r="C230" s="97"/>
      <c r="D230" s="97"/>
      <c r="E230" s="97"/>
      <c r="F230" s="97"/>
      <c r="G230" s="98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</row>
    <row r="231">
      <c r="A231" s="97"/>
      <c r="B231" s="97"/>
      <c r="C231" s="97"/>
      <c r="D231" s="97"/>
      <c r="E231" s="97"/>
      <c r="F231" s="97"/>
      <c r="G231" s="98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</row>
    <row r="232">
      <c r="A232" s="97"/>
      <c r="B232" s="97"/>
      <c r="C232" s="97"/>
      <c r="D232" s="97"/>
      <c r="E232" s="97"/>
      <c r="F232" s="97"/>
      <c r="G232" s="98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</row>
    <row r="233">
      <c r="A233" s="97"/>
      <c r="B233" s="97"/>
      <c r="C233" s="97"/>
      <c r="D233" s="97"/>
      <c r="E233" s="97"/>
      <c r="F233" s="97"/>
      <c r="G233" s="98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</row>
    <row r="234">
      <c r="A234" s="97"/>
      <c r="B234" s="97"/>
      <c r="C234" s="97"/>
      <c r="D234" s="97"/>
      <c r="E234" s="97"/>
      <c r="F234" s="97"/>
      <c r="G234" s="98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</row>
    <row r="235">
      <c r="A235" s="97"/>
      <c r="B235" s="97"/>
      <c r="C235" s="97"/>
      <c r="D235" s="97"/>
      <c r="E235" s="97"/>
      <c r="F235" s="97"/>
      <c r="G235" s="98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</row>
    <row r="236">
      <c r="A236" s="97"/>
      <c r="B236" s="97"/>
      <c r="C236" s="97"/>
      <c r="D236" s="97"/>
      <c r="E236" s="97"/>
      <c r="F236" s="97"/>
      <c r="G236" s="98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</row>
    <row r="237">
      <c r="A237" s="97"/>
      <c r="B237" s="97"/>
      <c r="C237" s="97"/>
      <c r="D237" s="97"/>
      <c r="E237" s="97"/>
      <c r="F237" s="97"/>
      <c r="G237" s="98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</row>
    <row r="238">
      <c r="A238" s="97"/>
      <c r="B238" s="97"/>
      <c r="C238" s="97"/>
      <c r="D238" s="97"/>
      <c r="E238" s="97"/>
      <c r="F238" s="97"/>
      <c r="G238" s="98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</row>
    <row r="239">
      <c r="A239" s="97"/>
      <c r="B239" s="97"/>
      <c r="C239" s="97"/>
      <c r="D239" s="97"/>
      <c r="E239" s="97"/>
      <c r="F239" s="97"/>
      <c r="G239" s="98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</row>
    <row r="240">
      <c r="A240" s="97"/>
      <c r="B240" s="97"/>
      <c r="C240" s="97"/>
      <c r="D240" s="97"/>
      <c r="E240" s="97"/>
      <c r="F240" s="97"/>
      <c r="G240" s="98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</row>
    <row r="241">
      <c r="A241" s="97"/>
      <c r="B241" s="97"/>
      <c r="C241" s="97"/>
      <c r="D241" s="97"/>
      <c r="E241" s="97"/>
      <c r="F241" s="97"/>
      <c r="G241" s="98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</row>
    <row r="242">
      <c r="A242" s="97"/>
      <c r="B242" s="97"/>
      <c r="C242" s="97"/>
      <c r="D242" s="97"/>
      <c r="E242" s="97"/>
      <c r="F242" s="97"/>
      <c r="G242" s="98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</row>
    <row r="243">
      <c r="A243" s="97"/>
      <c r="B243" s="97"/>
      <c r="C243" s="97"/>
      <c r="D243" s="97"/>
      <c r="E243" s="97"/>
      <c r="F243" s="97"/>
      <c r="G243" s="98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</row>
    <row r="244">
      <c r="A244" s="97"/>
      <c r="B244" s="97"/>
      <c r="C244" s="97"/>
      <c r="D244" s="97"/>
      <c r="E244" s="97"/>
      <c r="F244" s="97"/>
      <c r="G244" s="98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</row>
    <row r="245">
      <c r="A245" s="97"/>
      <c r="B245" s="97"/>
      <c r="C245" s="97"/>
      <c r="D245" s="97"/>
      <c r="E245" s="97"/>
      <c r="F245" s="97"/>
      <c r="G245" s="98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</row>
    <row r="246">
      <c r="A246" s="97"/>
      <c r="B246" s="97"/>
      <c r="C246" s="97"/>
      <c r="D246" s="97"/>
      <c r="E246" s="97"/>
      <c r="F246" s="97"/>
      <c r="G246" s="98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</row>
    <row r="247">
      <c r="A247" s="97"/>
      <c r="B247" s="97"/>
      <c r="C247" s="97"/>
      <c r="D247" s="97"/>
      <c r="E247" s="97"/>
      <c r="F247" s="97"/>
      <c r="G247" s="98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</row>
    <row r="248">
      <c r="A248" s="97"/>
      <c r="B248" s="97"/>
      <c r="C248" s="97"/>
      <c r="D248" s="97"/>
      <c r="E248" s="97"/>
      <c r="F248" s="97"/>
      <c r="G248" s="98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</row>
    <row r="249">
      <c r="A249" s="97"/>
      <c r="B249" s="97"/>
      <c r="C249" s="97"/>
      <c r="D249" s="97"/>
      <c r="E249" s="97"/>
      <c r="F249" s="97"/>
      <c r="G249" s="98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</row>
    <row r="250">
      <c r="A250" s="97"/>
      <c r="B250" s="97"/>
      <c r="C250" s="97"/>
      <c r="D250" s="97"/>
      <c r="E250" s="97"/>
      <c r="F250" s="97"/>
      <c r="G250" s="98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</row>
    <row r="251">
      <c r="A251" s="97"/>
      <c r="B251" s="97"/>
      <c r="C251" s="97"/>
      <c r="D251" s="97"/>
      <c r="E251" s="97"/>
      <c r="F251" s="97"/>
      <c r="G251" s="98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</row>
    <row r="252">
      <c r="A252" s="97"/>
      <c r="B252" s="97"/>
      <c r="C252" s="97"/>
      <c r="D252" s="97"/>
      <c r="E252" s="97"/>
      <c r="F252" s="97"/>
      <c r="G252" s="98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</row>
    <row r="253">
      <c r="A253" s="97"/>
      <c r="B253" s="97"/>
      <c r="C253" s="97"/>
      <c r="D253" s="97"/>
      <c r="E253" s="97"/>
      <c r="F253" s="97"/>
      <c r="G253" s="98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</row>
    <row r="254">
      <c r="A254" s="97"/>
      <c r="B254" s="97"/>
      <c r="C254" s="97"/>
      <c r="D254" s="97"/>
      <c r="E254" s="97"/>
      <c r="F254" s="97"/>
      <c r="G254" s="98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</row>
    <row r="255">
      <c r="A255" s="97"/>
      <c r="B255" s="97"/>
      <c r="C255" s="97"/>
      <c r="D255" s="97"/>
      <c r="E255" s="97"/>
      <c r="F255" s="97"/>
      <c r="G255" s="98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</row>
    <row r="256">
      <c r="A256" s="97"/>
      <c r="B256" s="97"/>
      <c r="C256" s="97"/>
      <c r="D256" s="97"/>
      <c r="E256" s="97"/>
      <c r="F256" s="97"/>
      <c r="G256" s="98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</row>
    <row r="257">
      <c r="A257" s="97"/>
      <c r="B257" s="97"/>
      <c r="C257" s="97"/>
      <c r="D257" s="97"/>
      <c r="E257" s="97"/>
      <c r="F257" s="97"/>
      <c r="G257" s="98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</row>
    <row r="258">
      <c r="A258" s="97"/>
      <c r="B258" s="97"/>
      <c r="C258" s="97"/>
      <c r="D258" s="97"/>
      <c r="E258" s="97"/>
      <c r="F258" s="97"/>
      <c r="G258" s="98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</row>
    <row r="259">
      <c r="A259" s="97"/>
      <c r="B259" s="97"/>
      <c r="C259" s="97"/>
      <c r="D259" s="97"/>
      <c r="E259" s="97"/>
      <c r="F259" s="97"/>
      <c r="G259" s="98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</row>
    <row r="260">
      <c r="A260" s="97"/>
      <c r="B260" s="97"/>
      <c r="C260" s="97"/>
      <c r="D260" s="97"/>
      <c r="E260" s="97"/>
      <c r="F260" s="97"/>
      <c r="G260" s="98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</row>
    <row r="261">
      <c r="A261" s="97"/>
      <c r="B261" s="97"/>
      <c r="C261" s="97"/>
      <c r="D261" s="97"/>
      <c r="E261" s="97"/>
      <c r="F261" s="97"/>
      <c r="G261" s="98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</row>
    <row r="262">
      <c r="A262" s="97"/>
      <c r="B262" s="97"/>
      <c r="C262" s="97"/>
      <c r="D262" s="97"/>
      <c r="E262" s="97"/>
      <c r="F262" s="97"/>
      <c r="G262" s="98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</row>
    <row r="263">
      <c r="A263" s="97"/>
      <c r="B263" s="97"/>
      <c r="C263" s="97"/>
      <c r="D263" s="97"/>
      <c r="E263" s="97"/>
      <c r="F263" s="97"/>
      <c r="G263" s="98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</row>
    <row r="264">
      <c r="A264" s="97"/>
      <c r="B264" s="97"/>
      <c r="C264" s="97"/>
      <c r="D264" s="97"/>
      <c r="E264" s="97"/>
      <c r="F264" s="97"/>
      <c r="G264" s="98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</row>
    <row r="265">
      <c r="A265" s="97"/>
      <c r="B265" s="97"/>
      <c r="C265" s="97"/>
      <c r="D265" s="97"/>
      <c r="E265" s="97"/>
      <c r="F265" s="97"/>
      <c r="G265" s="98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</row>
    <row r="266">
      <c r="A266" s="97"/>
      <c r="B266" s="97"/>
      <c r="C266" s="97"/>
      <c r="D266" s="97"/>
      <c r="E266" s="97"/>
      <c r="F266" s="97"/>
      <c r="G266" s="98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</row>
    <row r="267">
      <c r="A267" s="97"/>
      <c r="B267" s="97"/>
      <c r="C267" s="97"/>
      <c r="D267" s="97"/>
      <c r="E267" s="97"/>
      <c r="F267" s="97"/>
      <c r="G267" s="98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</row>
    <row r="268">
      <c r="A268" s="97"/>
      <c r="B268" s="97"/>
      <c r="C268" s="97"/>
      <c r="D268" s="97"/>
      <c r="E268" s="97"/>
      <c r="F268" s="97"/>
      <c r="G268" s="98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</row>
    <row r="269">
      <c r="A269" s="97"/>
      <c r="B269" s="97"/>
      <c r="C269" s="97"/>
      <c r="D269" s="97"/>
      <c r="E269" s="97"/>
      <c r="F269" s="97"/>
      <c r="G269" s="98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</row>
    <row r="270">
      <c r="A270" s="97"/>
      <c r="B270" s="97"/>
      <c r="C270" s="97"/>
      <c r="D270" s="97"/>
      <c r="E270" s="97"/>
      <c r="F270" s="97"/>
      <c r="G270" s="98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</row>
    <row r="271">
      <c r="A271" s="97"/>
      <c r="B271" s="97"/>
      <c r="C271" s="97"/>
      <c r="D271" s="97"/>
      <c r="E271" s="97"/>
      <c r="F271" s="97"/>
      <c r="G271" s="98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</row>
    <row r="272">
      <c r="A272" s="97"/>
      <c r="B272" s="97"/>
      <c r="C272" s="97"/>
      <c r="D272" s="97"/>
      <c r="E272" s="97"/>
      <c r="F272" s="97"/>
      <c r="G272" s="98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</row>
    <row r="273">
      <c r="A273" s="97"/>
      <c r="B273" s="97"/>
      <c r="C273" s="97"/>
      <c r="D273" s="97"/>
      <c r="E273" s="97"/>
      <c r="F273" s="97"/>
      <c r="G273" s="98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</row>
    <row r="274">
      <c r="A274" s="97"/>
      <c r="B274" s="97"/>
      <c r="C274" s="97"/>
      <c r="D274" s="97"/>
      <c r="E274" s="97"/>
      <c r="F274" s="97"/>
      <c r="G274" s="98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</row>
    <row r="275">
      <c r="A275" s="97"/>
      <c r="B275" s="97"/>
      <c r="C275" s="97"/>
      <c r="D275" s="97"/>
      <c r="E275" s="97"/>
      <c r="F275" s="97"/>
      <c r="G275" s="98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</row>
    <row r="276">
      <c r="A276" s="97"/>
      <c r="B276" s="97"/>
      <c r="C276" s="97"/>
      <c r="D276" s="97"/>
      <c r="E276" s="97"/>
      <c r="F276" s="97"/>
      <c r="G276" s="98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</row>
    <row r="277">
      <c r="A277" s="97"/>
      <c r="B277" s="97"/>
      <c r="C277" s="97"/>
      <c r="D277" s="97"/>
      <c r="E277" s="97"/>
      <c r="F277" s="97"/>
      <c r="G277" s="98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</row>
    <row r="278">
      <c r="A278" s="97"/>
      <c r="B278" s="97"/>
      <c r="C278" s="97"/>
      <c r="D278" s="97"/>
      <c r="E278" s="97"/>
      <c r="F278" s="97"/>
      <c r="G278" s="98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</row>
    <row r="279">
      <c r="A279" s="97"/>
      <c r="B279" s="97"/>
      <c r="C279" s="97"/>
      <c r="D279" s="97"/>
      <c r="E279" s="97"/>
      <c r="F279" s="97"/>
      <c r="G279" s="98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</row>
    <row r="280">
      <c r="A280" s="97"/>
      <c r="B280" s="97"/>
      <c r="C280" s="97"/>
      <c r="D280" s="97"/>
      <c r="E280" s="97"/>
      <c r="F280" s="97"/>
      <c r="G280" s="98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</row>
    <row r="281">
      <c r="A281" s="97"/>
      <c r="B281" s="97"/>
      <c r="C281" s="97"/>
      <c r="D281" s="97"/>
      <c r="E281" s="97"/>
      <c r="F281" s="97"/>
      <c r="G281" s="98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</row>
    <row r="282">
      <c r="A282" s="97"/>
      <c r="B282" s="97"/>
      <c r="C282" s="97"/>
      <c r="D282" s="97"/>
      <c r="E282" s="97"/>
      <c r="F282" s="97"/>
      <c r="G282" s="98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</row>
    <row r="283">
      <c r="A283" s="97"/>
      <c r="B283" s="97"/>
      <c r="C283" s="97"/>
      <c r="D283" s="97"/>
      <c r="E283" s="97"/>
      <c r="F283" s="97"/>
      <c r="G283" s="98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</row>
    <row r="284">
      <c r="A284" s="97"/>
      <c r="B284" s="97"/>
      <c r="C284" s="97"/>
      <c r="D284" s="97"/>
      <c r="E284" s="97"/>
      <c r="F284" s="97"/>
      <c r="G284" s="98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</row>
    <row r="285">
      <c r="A285" s="97"/>
      <c r="B285" s="97"/>
      <c r="C285" s="97"/>
      <c r="D285" s="97"/>
      <c r="E285" s="97"/>
      <c r="F285" s="97"/>
      <c r="G285" s="98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</row>
    <row r="286">
      <c r="A286" s="97"/>
      <c r="B286" s="97"/>
      <c r="C286" s="97"/>
      <c r="D286" s="97"/>
      <c r="E286" s="97"/>
      <c r="F286" s="97"/>
      <c r="G286" s="98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</row>
    <row r="287">
      <c r="A287" s="97"/>
      <c r="B287" s="97"/>
      <c r="C287" s="97"/>
      <c r="D287" s="97"/>
      <c r="E287" s="97"/>
      <c r="F287" s="97"/>
      <c r="G287" s="98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</row>
    <row r="288">
      <c r="A288" s="97"/>
      <c r="B288" s="97"/>
      <c r="C288" s="97"/>
      <c r="D288" s="97"/>
      <c r="E288" s="97"/>
      <c r="F288" s="97"/>
      <c r="G288" s="98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</row>
    <row r="289">
      <c r="A289" s="97"/>
      <c r="B289" s="97"/>
      <c r="C289" s="97"/>
      <c r="D289" s="97"/>
      <c r="E289" s="97"/>
      <c r="F289" s="97"/>
      <c r="G289" s="98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</row>
    <row r="290">
      <c r="A290" s="97"/>
      <c r="B290" s="97"/>
      <c r="C290" s="97"/>
      <c r="D290" s="97"/>
      <c r="E290" s="97"/>
      <c r="F290" s="97"/>
      <c r="G290" s="98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</row>
    <row r="291">
      <c r="A291" s="97"/>
      <c r="B291" s="97"/>
      <c r="C291" s="97"/>
      <c r="D291" s="97"/>
      <c r="E291" s="97"/>
      <c r="F291" s="97"/>
      <c r="G291" s="98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</row>
    <row r="292">
      <c r="A292" s="97"/>
      <c r="B292" s="97"/>
      <c r="C292" s="97"/>
      <c r="D292" s="97"/>
      <c r="E292" s="97"/>
      <c r="F292" s="97"/>
      <c r="G292" s="98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</row>
    <row r="293">
      <c r="A293" s="97"/>
      <c r="B293" s="97"/>
      <c r="C293" s="97"/>
      <c r="D293" s="97"/>
      <c r="E293" s="97"/>
      <c r="F293" s="97"/>
      <c r="G293" s="98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</row>
    <row r="294">
      <c r="A294" s="97"/>
      <c r="B294" s="97"/>
      <c r="C294" s="97"/>
      <c r="D294" s="97"/>
      <c r="E294" s="97"/>
      <c r="F294" s="97"/>
      <c r="G294" s="98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</row>
    <row r="295">
      <c r="A295" s="97"/>
      <c r="B295" s="97"/>
      <c r="C295" s="97"/>
      <c r="D295" s="97"/>
      <c r="E295" s="97"/>
      <c r="F295" s="97"/>
      <c r="G295" s="98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</row>
    <row r="296">
      <c r="A296" s="97"/>
      <c r="B296" s="97"/>
      <c r="C296" s="97"/>
      <c r="D296" s="97"/>
      <c r="E296" s="97"/>
      <c r="F296" s="97"/>
      <c r="G296" s="98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</row>
    <row r="297">
      <c r="A297" s="97"/>
      <c r="B297" s="97"/>
      <c r="C297" s="97"/>
      <c r="D297" s="97"/>
      <c r="E297" s="97"/>
      <c r="F297" s="97"/>
      <c r="G297" s="98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</row>
    <row r="298">
      <c r="A298" s="97"/>
      <c r="B298" s="97"/>
      <c r="C298" s="97"/>
      <c r="D298" s="97"/>
      <c r="E298" s="97"/>
      <c r="F298" s="97"/>
      <c r="G298" s="98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</row>
    <row r="299">
      <c r="A299" s="97"/>
      <c r="B299" s="97"/>
      <c r="C299" s="97"/>
      <c r="D299" s="97"/>
      <c r="E299" s="97"/>
      <c r="F299" s="97"/>
      <c r="G299" s="98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</row>
    <row r="300">
      <c r="A300" s="97"/>
      <c r="B300" s="97"/>
      <c r="C300" s="97"/>
      <c r="D300" s="97"/>
      <c r="E300" s="97"/>
      <c r="F300" s="97"/>
      <c r="G300" s="98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</row>
    <row r="301">
      <c r="A301" s="97"/>
      <c r="B301" s="97"/>
      <c r="C301" s="97"/>
      <c r="D301" s="97"/>
      <c r="E301" s="97"/>
      <c r="F301" s="97"/>
      <c r="G301" s="98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</row>
    <row r="302">
      <c r="A302" s="97"/>
      <c r="B302" s="97"/>
      <c r="C302" s="97"/>
      <c r="D302" s="97"/>
      <c r="E302" s="97"/>
      <c r="F302" s="97"/>
      <c r="G302" s="98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</row>
    <row r="303">
      <c r="A303" s="97"/>
      <c r="B303" s="97"/>
      <c r="C303" s="97"/>
      <c r="D303" s="97"/>
      <c r="E303" s="97"/>
      <c r="F303" s="97"/>
      <c r="G303" s="98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</row>
    <row r="304">
      <c r="A304" s="97"/>
      <c r="B304" s="97"/>
      <c r="C304" s="97"/>
      <c r="D304" s="97"/>
      <c r="E304" s="97"/>
      <c r="F304" s="97"/>
      <c r="G304" s="98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</row>
    <row r="305">
      <c r="A305" s="97"/>
      <c r="B305" s="97"/>
      <c r="C305" s="97"/>
      <c r="D305" s="97"/>
      <c r="E305" s="97"/>
      <c r="F305" s="97"/>
      <c r="G305" s="98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</row>
    <row r="306">
      <c r="A306" s="97"/>
      <c r="B306" s="97"/>
      <c r="C306" s="97"/>
      <c r="D306" s="97"/>
      <c r="E306" s="97"/>
      <c r="F306" s="97"/>
      <c r="G306" s="98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</row>
    <row r="307">
      <c r="A307" s="97"/>
      <c r="B307" s="97"/>
      <c r="C307" s="97"/>
      <c r="D307" s="97"/>
      <c r="E307" s="97"/>
      <c r="F307" s="97"/>
      <c r="G307" s="98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</row>
    <row r="308">
      <c r="A308" s="97"/>
      <c r="B308" s="97"/>
      <c r="C308" s="97"/>
      <c r="D308" s="97"/>
      <c r="E308" s="97"/>
      <c r="F308" s="97"/>
      <c r="G308" s="98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</row>
    <row r="309">
      <c r="A309" s="97"/>
      <c r="B309" s="97"/>
      <c r="C309" s="97"/>
      <c r="D309" s="97"/>
      <c r="E309" s="97"/>
      <c r="F309" s="97"/>
      <c r="G309" s="98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</row>
    <row r="310">
      <c r="A310" s="97"/>
      <c r="B310" s="97"/>
      <c r="C310" s="97"/>
      <c r="D310" s="97"/>
      <c r="E310" s="97"/>
      <c r="F310" s="97"/>
      <c r="G310" s="98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</row>
    <row r="311">
      <c r="A311" s="97"/>
      <c r="B311" s="97"/>
      <c r="C311" s="97"/>
      <c r="D311" s="97"/>
      <c r="E311" s="97"/>
      <c r="F311" s="97"/>
      <c r="G311" s="98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</row>
    <row r="312">
      <c r="A312" s="97"/>
      <c r="B312" s="97"/>
      <c r="C312" s="97"/>
      <c r="D312" s="97"/>
      <c r="E312" s="97"/>
      <c r="F312" s="97"/>
      <c r="G312" s="98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</row>
    <row r="313">
      <c r="A313" s="97"/>
      <c r="B313" s="97"/>
      <c r="C313" s="97"/>
      <c r="D313" s="97"/>
      <c r="E313" s="97"/>
      <c r="F313" s="97"/>
      <c r="G313" s="98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</row>
    <row r="314">
      <c r="A314" s="97"/>
      <c r="B314" s="97"/>
      <c r="C314" s="97"/>
      <c r="D314" s="97"/>
      <c r="E314" s="97"/>
      <c r="F314" s="97"/>
      <c r="G314" s="98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</row>
    <row r="315">
      <c r="A315" s="97"/>
      <c r="B315" s="97"/>
      <c r="C315" s="97"/>
      <c r="D315" s="97"/>
      <c r="E315" s="97"/>
      <c r="F315" s="97"/>
      <c r="G315" s="98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</row>
    <row r="316">
      <c r="A316" s="97"/>
      <c r="B316" s="97"/>
      <c r="C316" s="97"/>
      <c r="D316" s="97"/>
      <c r="E316" s="97"/>
      <c r="F316" s="97"/>
      <c r="G316" s="98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</row>
    <row r="317">
      <c r="A317" s="97"/>
      <c r="B317" s="97"/>
      <c r="C317" s="97"/>
      <c r="D317" s="97"/>
      <c r="E317" s="97"/>
      <c r="F317" s="97"/>
      <c r="G317" s="98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</row>
    <row r="318">
      <c r="A318" s="97"/>
      <c r="B318" s="97"/>
      <c r="C318" s="97"/>
      <c r="D318" s="97"/>
      <c r="E318" s="97"/>
      <c r="F318" s="97"/>
      <c r="G318" s="98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</row>
    <row r="319">
      <c r="A319" s="97"/>
      <c r="B319" s="97"/>
      <c r="C319" s="97"/>
      <c r="D319" s="97"/>
      <c r="E319" s="97"/>
      <c r="F319" s="97"/>
      <c r="G319" s="98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</row>
    <row r="320">
      <c r="A320" s="97"/>
      <c r="B320" s="97"/>
      <c r="C320" s="97"/>
      <c r="D320" s="97"/>
      <c r="E320" s="97"/>
      <c r="F320" s="97"/>
      <c r="G320" s="98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</row>
    <row r="321">
      <c r="A321" s="97"/>
      <c r="B321" s="97"/>
      <c r="C321" s="97"/>
      <c r="D321" s="97"/>
      <c r="E321" s="97"/>
      <c r="F321" s="97"/>
      <c r="G321" s="98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</row>
    <row r="322">
      <c r="A322" s="97"/>
      <c r="B322" s="97"/>
      <c r="C322" s="97"/>
      <c r="D322" s="97"/>
      <c r="E322" s="97"/>
      <c r="F322" s="97"/>
      <c r="G322" s="98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</row>
    <row r="323">
      <c r="A323" s="97"/>
      <c r="B323" s="97"/>
      <c r="C323" s="97"/>
      <c r="D323" s="97"/>
      <c r="E323" s="97"/>
      <c r="F323" s="97"/>
      <c r="G323" s="98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</row>
    <row r="324">
      <c r="A324" s="97"/>
      <c r="B324" s="97"/>
      <c r="C324" s="97"/>
      <c r="D324" s="97"/>
      <c r="E324" s="97"/>
      <c r="F324" s="97"/>
      <c r="G324" s="98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</row>
    <row r="325">
      <c r="A325" s="97"/>
      <c r="B325" s="97"/>
      <c r="C325" s="97"/>
      <c r="D325" s="97"/>
      <c r="E325" s="97"/>
      <c r="F325" s="97"/>
      <c r="G325" s="98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</row>
    <row r="326">
      <c r="A326" s="97"/>
      <c r="B326" s="97"/>
      <c r="C326" s="97"/>
      <c r="D326" s="97"/>
      <c r="E326" s="97"/>
      <c r="F326" s="97"/>
      <c r="G326" s="98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</row>
    <row r="327">
      <c r="A327" s="97"/>
      <c r="B327" s="97"/>
      <c r="C327" s="97"/>
      <c r="D327" s="97"/>
      <c r="E327" s="97"/>
      <c r="F327" s="97"/>
      <c r="G327" s="98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</row>
    <row r="328">
      <c r="A328" s="97"/>
      <c r="B328" s="97"/>
      <c r="C328" s="97"/>
      <c r="D328" s="97"/>
      <c r="E328" s="97"/>
      <c r="F328" s="97"/>
      <c r="G328" s="98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</row>
    <row r="329">
      <c r="A329" s="97"/>
      <c r="B329" s="97"/>
      <c r="C329" s="97"/>
      <c r="D329" s="97"/>
      <c r="E329" s="97"/>
      <c r="F329" s="97"/>
      <c r="G329" s="98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</row>
    <row r="330">
      <c r="A330" s="97"/>
      <c r="B330" s="97"/>
      <c r="C330" s="97"/>
      <c r="D330" s="97"/>
      <c r="E330" s="97"/>
      <c r="F330" s="97"/>
      <c r="G330" s="98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</row>
    <row r="331">
      <c r="A331" s="97"/>
      <c r="B331" s="97"/>
      <c r="C331" s="97"/>
      <c r="D331" s="97"/>
      <c r="E331" s="97"/>
      <c r="F331" s="97"/>
      <c r="G331" s="98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</row>
    <row r="332">
      <c r="A332" s="97"/>
      <c r="B332" s="97"/>
      <c r="C332" s="97"/>
      <c r="D332" s="97"/>
      <c r="E332" s="97"/>
      <c r="F332" s="97"/>
      <c r="G332" s="98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</row>
    <row r="333">
      <c r="A333" s="97"/>
      <c r="B333" s="97"/>
      <c r="C333" s="97"/>
      <c r="D333" s="97"/>
      <c r="E333" s="97"/>
      <c r="F333" s="97"/>
      <c r="G333" s="98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</row>
    <row r="334">
      <c r="A334" s="97"/>
      <c r="B334" s="97"/>
      <c r="C334" s="97"/>
      <c r="D334" s="97"/>
      <c r="E334" s="97"/>
      <c r="F334" s="97"/>
      <c r="G334" s="98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</row>
    <row r="335">
      <c r="A335" s="97"/>
      <c r="B335" s="97"/>
      <c r="C335" s="97"/>
      <c r="D335" s="97"/>
      <c r="E335" s="97"/>
      <c r="F335" s="97"/>
      <c r="G335" s="98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</row>
    <row r="336">
      <c r="A336" s="97"/>
      <c r="B336" s="97"/>
      <c r="C336" s="97"/>
      <c r="D336" s="97"/>
      <c r="E336" s="97"/>
      <c r="F336" s="97"/>
      <c r="G336" s="98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</row>
    <row r="337">
      <c r="A337" s="97"/>
      <c r="B337" s="97"/>
      <c r="C337" s="97"/>
      <c r="D337" s="97"/>
      <c r="E337" s="97"/>
      <c r="F337" s="97"/>
      <c r="G337" s="98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</row>
    <row r="338">
      <c r="A338" s="97"/>
      <c r="B338" s="97"/>
      <c r="C338" s="97"/>
      <c r="D338" s="97"/>
      <c r="E338" s="97"/>
      <c r="F338" s="97"/>
      <c r="G338" s="98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</row>
    <row r="339">
      <c r="A339" s="97"/>
      <c r="B339" s="97"/>
      <c r="C339" s="97"/>
      <c r="D339" s="97"/>
      <c r="E339" s="97"/>
      <c r="F339" s="97"/>
      <c r="G339" s="98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</row>
    <row r="340">
      <c r="A340" s="97"/>
      <c r="B340" s="97"/>
      <c r="C340" s="97"/>
      <c r="D340" s="97"/>
      <c r="E340" s="97"/>
      <c r="F340" s="97"/>
      <c r="G340" s="98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</row>
    <row r="341">
      <c r="A341" s="97"/>
      <c r="B341" s="97"/>
      <c r="C341" s="97"/>
      <c r="D341" s="97"/>
      <c r="E341" s="97"/>
      <c r="F341" s="97"/>
      <c r="G341" s="98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</row>
    <row r="342">
      <c r="A342" s="97"/>
      <c r="B342" s="97"/>
      <c r="C342" s="97"/>
      <c r="D342" s="97"/>
      <c r="E342" s="97"/>
      <c r="F342" s="97"/>
      <c r="G342" s="98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</row>
    <row r="343">
      <c r="A343" s="97"/>
      <c r="B343" s="97"/>
      <c r="C343" s="97"/>
      <c r="D343" s="97"/>
      <c r="E343" s="97"/>
      <c r="F343" s="97"/>
      <c r="G343" s="98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</row>
    <row r="344">
      <c r="A344" s="97"/>
      <c r="B344" s="97"/>
      <c r="C344" s="97"/>
      <c r="D344" s="97"/>
      <c r="E344" s="97"/>
      <c r="F344" s="97"/>
      <c r="G344" s="98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</row>
    <row r="345">
      <c r="A345" s="97"/>
      <c r="B345" s="97"/>
      <c r="C345" s="97"/>
      <c r="D345" s="97"/>
      <c r="E345" s="97"/>
      <c r="F345" s="97"/>
      <c r="G345" s="98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</row>
    <row r="346">
      <c r="A346" s="97"/>
      <c r="B346" s="97"/>
      <c r="C346" s="97"/>
      <c r="D346" s="97"/>
      <c r="E346" s="97"/>
      <c r="F346" s="97"/>
      <c r="G346" s="98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</row>
    <row r="347">
      <c r="A347" s="97"/>
      <c r="B347" s="97"/>
      <c r="C347" s="97"/>
      <c r="D347" s="97"/>
      <c r="E347" s="97"/>
      <c r="F347" s="97"/>
      <c r="G347" s="98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</row>
    <row r="348">
      <c r="A348" s="97"/>
      <c r="B348" s="97"/>
      <c r="C348" s="97"/>
      <c r="D348" s="97"/>
      <c r="E348" s="97"/>
      <c r="F348" s="97"/>
      <c r="G348" s="98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</row>
    <row r="349">
      <c r="A349" s="97"/>
      <c r="B349" s="97"/>
      <c r="C349" s="97"/>
      <c r="D349" s="97"/>
      <c r="E349" s="97"/>
      <c r="F349" s="97"/>
      <c r="G349" s="98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</row>
    <row r="350">
      <c r="A350" s="97"/>
      <c r="B350" s="97"/>
      <c r="C350" s="97"/>
      <c r="D350" s="97"/>
      <c r="E350" s="97"/>
      <c r="F350" s="97"/>
      <c r="G350" s="98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</row>
    <row r="351">
      <c r="A351" s="97"/>
      <c r="B351" s="97"/>
      <c r="C351" s="97"/>
      <c r="D351" s="97"/>
      <c r="E351" s="97"/>
      <c r="F351" s="97"/>
      <c r="G351" s="98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</row>
    <row r="352">
      <c r="A352" s="97"/>
      <c r="B352" s="97"/>
      <c r="C352" s="97"/>
      <c r="D352" s="97"/>
      <c r="E352" s="97"/>
      <c r="F352" s="97"/>
      <c r="G352" s="98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</row>
    <row r="353">
      <c r="A353" s="97"/>
      <c r="B353" s="97"/>
      <c r="C353" s="97"/>
      <c r="D353" s="97"/>
      <c r="E353" s="97"/>
      <c r="F353" s="97"/>
      <c r="G353" s="98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</row>
    <row r="354">
      <c r="A354" s="97"/>
      <c r="B354" s="97"/>
      <c r="C354" s="97"/>
      <c r="D354" s="97"/>
      <c r="E354" s="97"/>
      <c r="F354" s="97"/>
      <c r="G354" s="98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</row>
    <row r="355">
      <c r="A355" s="97"/>
      <c r="B355" s="97"/>
      <c r="C355" s="97"/>
      <c r="D355" s="97"/>
      <c r="E355" s="97"/>
      <c r="F355" s="97"/>
      <c r="G355" s="98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</row>
    <row r="356">
      <c r="A356" s="97"/>
      <c r="B356" s="97"/>
      <c r="C356" s="97"/>
      <c r="D356" s="97"/>
      <c r="E356" s="97"/>
      <c r="F356" s="97"/>
      <c r="G356" s="98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</row>
    <row r="357">
      <c r="A357" s="97"/>
      <c r="B357" s="97"/>
      <c r="C357" s="97"/>
      <c r="D357" s="97"/>
      <c r="E357" s="97"/>
      <c r="F357" s="97"/>
      <c r="G357" s="98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</row>
    <row r="358">
      <c r="A358" s="97"/>
      <c r="B358" s="97"/>
      <c r="C358" s="97"/>
      <c r="D358" s="97"/>
      <c r="E358" s="97"/>
      <c r="F358" s="97"/>
      <c r="G358" s="98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</row>
    <row r="359">
      <c r="A359" s="97"/>
      <c r="B359" s="97"/>
      <c r="C359" s="97"/>
      <c r="D359" s="97"/>
      <c r="E359" s="97"/>
      <c r="F359" s="97"/>
      <c r="G359" s="98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</row>
    <row r="360">
      <c r="A360" s="97"/>
      <c r="B360" s="97"/>
      <c r="C360" s="97"/>
      <c r="D360" s="97"/>
      <c r="E360" s="97"/>
      <c r="F360" s="97"/>
      <c r="G360" s="98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</row>
    <row r="361">
      <c r="A361" s="97"/>
      <c r="B361" s="97"/>
      <c r="C361" s="97"/>
      <c r="D361" s="97"/>
      <c r="E361" s="97"/>
      <c r="F361" s="97"/>
      <c r="G361" s="98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</row>
    <row r="362">
      <c r="A362" s="97"/>
      <c r="B362" s="97"/>
      <c r="C362" s="97"/>
      <c r="D362" s="97"/>
      <c r="E362" s="97"/>
      <c r="F362" s="97"/>
      <c r="G362" s="98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</row>
    <row r="363">
      <c r="A363" s="97"/>
      <c r="B363" s="97"/>
      <c r="C363" s="97"/>
      <c r="D363" s="97"/>
      <c r="E363" s="97"/>
      <c r="F363" s="97"/>
      <c r="G363" s="98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</row>
    <row r="364">
      <c r="A364" s="97"/>
      <c r="B364" s="97"/>
      <c r="C364" s="97"/>
      <c r="D364" s="97"/>
      <c r="E364" s="97"/>
      <c r="F364" s="97"/>
      <c r="G364" s="98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</row>
    <row r="365">
      <c r="A365" s="97"/>
      <c r="B365" s="97"/>
      <c r="C365" s="97"/>
      <c r="D365" s="97"/>
      <c r="E365" s="97"/>
      <c r="F365" s="97"/>
      <c r="G365" s="98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</row>
    <row r="366">
      <c r="A366" s="97"/>
      <c r="B366" s="97"/>
      <c r="C366" s="97"/>
      <c r="D366" s="97"/>
      <c r="E366" s="97"/>
      <c r="F366" s="97"/>
      <c r="G366" s="98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</row>
    <row r="367">
      <c r="A367" s="97"/>
      <c r="B367" s="97"/>
      <c r="C367" s="97"/>
      <c r="D367" s="97"/>
      <c r="E367" s="97"/>
      <c r="F367" s="97"/>
      <c r="G367" s="98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</row>
    <row r="368">
      <c r="A368" s="97"/>
      <c r="B368" s="97"/>
      <c r="C368" s="97"/>
      <c r="D368" s="97"/>
      <c r="E368" s="97"/>
      <c r="F368" s="97"/>
      <c r="G368" s="98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</row>
    <row r="369">
      <c r="A369" s="97"/>
      <c r="B369" s="97"/>
      <c r="C369" s="97"/>
      <c r="D369" s="97"/>
      <c r="E369" s="97"/>
      <c r="F369" s="97"/>
      <c r="G369" s="98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</row>
    <row r="370">
      <c r="A370" s="97"/>
      <c r="B370" s="97"/>
      <c r="C370" s="97"/>
      <c r="D370" s="97"/>
      <c r="E370" s="97"/>
      <c r="F370" s="97"/>
      <c r="G370" s="98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</row>
    <row r="371">
      <c r="A371" s="97"/>
      <c r="B371" s="97"/>
      <c r="C371" s="97"/>
      <c r="D371" s="97"/>
      <c r="E371" s="97"/>
      <c r="F371" s="97"/>
      <c r="G371" s="98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</row>
    <row r="372">
      <c r="A372" s="97"/>
      <c r="B372" s="97"/>
      <c r="C372" s="97"/>
      <c r="D372" s="97"/>
      <c r="E372" s="97"/>
      <c r="F372" s="97"/>
      <c r="G372" s="98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</row>
    <row r="373">
      <c r="A373" s="97"/>
      <c r="B373" s="97"/>
      <c r="C373" s="97"/>
      <c r="D373" s="97"/>
      <c r="E373" s="97"/>
      <c r="F373" s="97"/>
      <c r="G373" s="98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</row>
    <row r="374">
      <c r="A374" s="97"/>
      <c r="B374" s="97"/>
      <c r="C374" s="97"/>
      <c r="D374" s="97"/>
      <c r="E374" s="97"/>
      <c r="F374" s="97"/>
      <c r="G374" s="98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</row>
    <row r="375">
      <c r="A375" s="97"/>
      <c r="B375" s="97"/>
      <c r="C375" s="97"/>
      <c r="D375" s="97"/>
      <c r="E375" s="97"/>
      <c r="F375" s="97"/>
      <c r="G375" s="98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</row>
    <row r="376">
      <c r="A376" s="97"/>
      <c r="B376" s="97"/>
      <c r="C376" s="97"/>
      <c r="D376" s="97"/>
      <c r="E376" s="97"/>
      <c r="F376" s="97"/>
      <c r="G376" s="98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</row>
    <row r="377">
      <c r="A377" s="97"/>
      <c r="B377" s="97"/>
      <c r="C377" s="97"/>
      <c r="D377" s="97"/>
      <c r="E377" s="97"/>
      <c r="F377" s="97"/>
      <c r="G377" s="98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</row>
    <row r="378">
      <c r="A378" s="97"/>
      <c r="B378" s="97"/>
      <c r="C378" s="97"/>
      <c r="D378" s="97"/>
      <c r="E378" s="97"/>
      <c r="F378" s="97"/>
      <c r="G378" s="98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</row>
    <row r="379">
      <c r="A379" s="97"/>
      <c r="B379" s="97"/>
      <c r="C379" s="97"/>
      <c r="D379" s="97"/>
      <c r="E379" s="97"/>
      <c r="F379" s="97"/>
      <c r="G379" s="98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</row>
    <row r="380">
      <c r="A380" s="97"/>
      <c r="B380" s="97"/>
      <c r="C380" s="97"/>
      <c r="D380" s="97"/>
      <c r="E380" s="97"/>
      <c r="F380" s="97"/>
      <c r="G380" s="98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</row>
    <row r="381">
      <c r="A381" s="97"/>
      <c r="B381" s="97"/>
      <c r="C381" s="97"/>
      <c r="D381" s="97"/>
      <c r="E381" s="97"/>
      <c r="F381" s="97"/>
      <c r="G381" s="98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</row>
    <row r="382">
      <c r="A382" s="97"/>
      <c r="B382" s="97"/>
      <c r="C382" s="97"/>
      <c r="D382" s="97"/>
      <c r="E382" s="97"/>
      <c r="F382" s="97"/>
      <c r="G382" s="98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</row>
    <row r="383">
      <c r="A383" s="97"/>
      <c r="B383" s="97"/>
      <c r="C383" s="97"/>
      <c r="D383" s="97"/>
      <c r="E383" s="97"/>
      <c r="F383" s="97"/>
      <c r="G383" s="98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</row>
    <row r="384">
      <c r="A384" s="97"/>
      <c r="B384" s="97"/>
      <c r="C384" s="97"/>
      <c r="D384" s="97"/>
      <c r="E384" s="97"/>
      <c r="F384" s="97"/>
      <c r="G384" s="98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</row>
    <row r="385">
      <c r="A385" s="97"/>
      <c r="B385" s="97"/>
      <c r="C385" s="97"/>
      <c r="D385" s="97"/>
      <c r="E385" s="97"/>
      <c r="F385" s="97"/>
      <c r="G385" s="98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</row>
    <row r="386">
      <c r="A386" s="97"/>
      <c r="B386" s="97"/>
      <c r="C386" s="97"/>
      <c r="D386" s="97"/>
      <c r="E386" s="97"/>
      <c r="F386" s="97"/>
      <c r="G386" s="98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</row>
    <row r="387">
      <c r="A387" s="97"/>
      <c r="B387" s="97"/>
      <c r="C387" s="97"/>
      <c r="D387" s="97"/>
      <c r="E387" s="97"/>
      <c r="F387" s="97"/>
      <c r="G387" s="98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</row>
    <row r="388">
      <c r="A388" s="97"/>
      <c r="B388" s="97"/>
      <c r="C388" s="97"/>
      <c r="D388" s="97"/>
      <c r="E388" s="97"/>
      <c r="F388" s="97"/>
      <c r="G388" s="98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</row>
    <row r="389">
      <c r="A389" s="97"/>
      <c r="B389" s="97"/>
      <c r="C389" s="97"/>
      <c r="D389" s="97"/>
      <c r="E389" s="97"/>
      <c r="F389" s="97"/>
      <c r="G389" s="98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</row>
    <row r="390">
      <c r="A390" s="97"/>
      <c r="B390" s="97"/>
      <c r="C390" s="97"/>
      <c r="D390" s="97"/>
      <c r="E390" s="97"/>
      <c r="F390" s="97"/>
      <c r="G390" s="98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</row>
    <row r="391">
      <c r="A391" s="97"/>
      <c r="B391" s="97"/>
      <c r="C391" s="97"/>
      <c r="D391" s="97"/>
      <c r="E391" s="97"/>
      <c r="F391" s="97"/>
      <c r="G391" s="98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</row>
    <row r="392">
      <c r="A392" s="97"/>
      <c r="B392" s="97"/>
      <c r="C392" s="97"/>
      <c r="D392" s="97"/>
      <c r="E392" s="97"/>
      <c r="F392" s="97"/>
      <c r="G392" s="98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</row>
    <row r="393">
      <c r="A393" s="97"/>
      <c r="B393" s="97"/>
      <c r="C393" s="97"/>
      <c r="D393" s="97"/>
      <c r="E393" s="97"/>
      <c r="F393" s="97"/>
      <c r="G393" s="98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</row>
    <row r="394">
      <c r="A394" s="97"/>
      <c r="B394" s="97"/>
      <c r="C394" s="97"/>
      <c r="D394" s="97"/>
      <c r="E394" s="97"/>
      <c r="F394" s="97"/>
      <c r="G394" s="98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</row>
    <row r="395">
      <c r="A395" s="97"/>
      <c r="B395" s="97"/>
      <c r="C395" s="97"/>
      <c r="D395" s="97"/>
      <c r="E395" s="97"/>
      <c r="F395" s="97"/>
      <c r="G395" s="98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</row>
    <row r="396">
      <c r="A396" s="97"/>
      <c r="B396" s="97"/>
      <c r="C396" s="97"/>
      <c r="D396" s="97"/>
      <c r="E396" s="97"/>
      <c r="F396" s="97"/>
      <c r="G396" s="98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</row>
    <row r="397">
      <c r="A397" s="97"/>
      <c r="B397" s="97"/>
      <c r="C397" s="97"/>
      <c r="D397" s="97"/>
      <c r="E397" s="97"/>
      <c r="F397" s="97"/>
      <c r="G397" s="98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</row>
    <row r="398">
      <c r="A398" s="97"/>
      <c r="B398" s="97"/>
      <c r="C398" s="97"/>
      <c r="D398" s="97"/>
      <c r="E398" s="97"/>
      <c r="F398" s="97"/>
      <c r="G398" s="98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</row>
    <row r="399">
      <c r="A399" s="97"/>
      <c r="B399" s="97"/>
      <c r="C399" s="97"/>
      <c r="D399" s="97"/>
      <c r="E399" s="97"/>
      <c r="F399" s="97"/>
      <c r="G399" s="98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</row>
    <row r="400">
      <c r="A400" s="97"/>
      <c r="B400" s="97"/>
      <c r="C400" s="97"/>
      <c r="D400" s="97"/>
      <c r="E400" s="97"/>
      <c r="F400" s="97"/>
      <c r="G400" s="98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</row>
    <row r="401">
      <c r="A401" s="97"/>
      <c r="B401" s="97"/>
      <c r="C401" s="97"/>
      <c r="D401" s="97"/>
      <c r="E401" s="97"/>
      <c r="F401" s="97"/>
      <c r="G401" s="98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</row>
    <row r="402">
      <c r="A402" s="97"/>
      <c r="B402" s="97"/>
      <c r="C402" s="97"/>
      <c r="D402" s="97"/>
      <c r="E402" s="97"/>
      <c r="F402" s="97"/>
      <c r="G402" s="98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</row>
    <row r="403">
      <c r="A403" s="97"/>
      <c r="B403" s="97"/>
      <c r="C403" s="97"/>
      <c r="D403" s="97"/>
      <c r="E403" s="97"/>
      <c r="F403" s="97"/>
      <c r="G403" s="98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</row>
    <row r="404">
      <c r="A404" s="97"/>
      <c r="B404" s="97"/>
      <c r="C404" s="97"/>
      <c r="D404" s="97"/>
      <c r="E404" s="97"/>
      <c r="F404" s="97"/>
      <c r="G404" s="98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</row>
    <row r="405">
      <c r="A405" s="97"/>
      <c r="B405" s="97"/>
      <c r="C405" s="97"/>
      <c r="D405" s="97"/>
      <c r="E405" s="97"/>
      <c r="F405" s="97"/>
      <c r="G405" s="98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</row>
    <row r="406">
      <c r="A406" s="97"/>
      <c r="B406" s="97"/>
      <c r="C406" s="97"/>
      <c r="D406" s="97"/>
      <c r="E406" s="97"/>
      <c r="F406" s="97"/>
      <c r="G406" s="98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</row>
    <row r="407">
      <c r="A407" s="97"/>
      <c r="B407" s="97"/>
      <c r="C407" s="97"/>
      <c r="D407" s="97"/>
      <c r="E407" s="97"/>
      <c r="F407" s="97"/>
      <c r="G407" s="98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</row>
    <row r="408">
      <c r="A408" s="97"/>
      <c r="B408" s="97"/>
      <c r="C408" s="97"/>
      <c r="D408" s="97"/>
      <c r="E408" s="97"/>
      <c r="F408" s="97"/>
      <c r="G408" s="98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</row>
    <row r="409">
      <c r="A409" s="97"/>
      <c r="B409" s="97"/>
      <c r="C409" s="97"/>
      <c r="D409" s="97"/>
      <c r="E409" s="97"/>
      <c r="F409" s="97"/>
      <c r="G409" s="98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</row>
    <row r="410">
      <c r="A410" s="97"/>
      <c r="B410" s="97"/>
      <c r="C410" s="97"/>
      <c r="D410" s="97"/>
      <c r="E410" s="97"/>
      <c r="F410" s="97"/>
      <c r="G410" s="98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</row>
    <row r="411">
      <c r="A411" s="97"/>
      <c r="B411" s="97"/>
      <c r="C411" s="97"/>
      <c r="D411" s="97"/>
      <c r="E411" s="97"/>
      <c r="F411" s="97"/>
      <c r="G411" s="98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</row>
    <row r="412">
      <c r="A412" s="97"/>
      <c r="B412" s="97"/>
      <c r="C412" s="97"/>
      <c r="D412" s="97"/>
      <c r="E412" s="97"/>
      <c r="F412" s="97"/>
      <c r="G412" s="98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</row>
    <row r="413">
      <c r="A413" s="97"/>
      <c r="B413" s="97"/>
      <c r="C413" s="97"/>
      <c r="D413" s="97"/>
      <c r="E413" s="97"/>
      <c r="F413" s="97"/>
      <c r="G413" s="98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</row>
    <row r="414">
      <c r="A414" s="97"/>
      <c r="B414" s="97"/>
      <c r="C414" s="97"/>
      <c r="D414" s="97"/>
      <c r="E414" s="97"/>
      <c r="F414" s="97"/>
      <c r="G414" s="98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</row>
    <row r="415">
      <c r="A415" s="97"/>
      <c r="B415" s="97"/>
      <c r="C415" s="97"/>
      <c r="D415" s="97"/>
      <c r="E415" s="97"/>
      <c r="F415" s="97"/>
      <c r="G415" s="98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</row>
    <row r="416">
      <c r="A416" s="97"/>
      <c r="B416" s="97"/>
      <c r="C416" s="97"/>
      <c r="D416" s="97"/>
      <c r="E416" s="97"/>
      <c r="F416" s="97"/>
      <c r="G416" s="98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</row>
    <row r="417">
      <c r="A417" s="97"/>
      <c r="B417" s="97"/>
      <c r="C417" s="97"/>
      <c r="D417" s="97"/>
      <c r="E417" s="97"/>
      <c r="F417" s="97"/>
      <c r="G417" s="98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</row>
    <row r="418">
      <c r="A418" s="97"/>
      <c r="B418" s="97"/>
      <c r="C418" s="97"/>
      <c r="D418" s="97"/>
      <c r="E418" s="97"/>
      <c r="F418" s="97"/>
      <c r="G418" s="98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</row>
    <row r="419">
      <c r="A419" s="97"/>
      <c r="B419" s="97"/>
      <c r="C419" s="97"/>
      <c r="D419" s="97"/>
      <c r="E419" s="97"/>
      <c r="F419" s="97"/>
      <c r="G419" s="98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</row>
    <row r="420">
      <c r="A420" s="97"/>
      <c r="B420" s="97"/>
      <c r="C420" s="97"/>
      <c r="D420" s="97"/>
      <c r="E420" s="97"/>
      <c r="F420" s="97"/>
      <c r="G420" s="98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</row>
    <row r="421">
      <c r="A421" s="97"/>
      <c r="B421" s="97"/>
      <c r="C421" s="97"/>
      <c r="D421" s="97"/>
      <c r="E421" s="97"/>
      <c r="F421" s="97"/>
      <c r="G421" s="98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</row>
    <row r="422">
      <c r="A422" s="97"/>
      <c r="B422" s="97"/>
      <c r="C422" s="97"/>
      <c r="D422" s="97"/>
      <c r="E422" s="97"/>
      <c r="F422" s="97"/>
      <c r="G422" s="98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</row>
    <row r="423">
      <c r="A423" s="97"/>
      <c r="B423" s="97"/>
      <c r="C423" s="97"/>
      <c r="D423" s="97"/>
      <c r="E423" s="97"/>
      <c r="F423" s="97"/>
      <c r="G423" s="98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</row>
    <row r="424">
      <c r="A424" s="97"/>
      <c r="B424" s="97"/>
      <c r="C424" s="97"/>
      <c r="D424" s="97"/>
      <c r="E424" s="97"/>
      <c r="F424" s="97"/>
      <c r="G424" s="98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</row>
    <row r="425">
      <c r="A425" s="97"/>
      <c r="B425" s="97"/>
      <c r="C425" s="97"/>
      <c r="D425" s="97"/>
      <c r="E425" s="97"/>
      <c r="F425" s="97"/>
      <c r="G425" s="98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</row>
    <row r="426">
      <c r="A426" s="97"/>
      <c r="B426" s="97"/>
      <c r="C426" s="97"/>
      <c r="D426" s="97"/>
      <c r="E426" s="97"/>
      <c r="F426" s="97"/>
      <c r="G426" s="98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</row>
    <row r="427">
      <c r="A427" s="97"/>
      <c r="B427" s="97"/>
      <c r="C427" s="97"/>
      <c r="D427" s="97"/>
      <c r="E427" s="97"/>
      <c r="F427" s="97"/>
      <c r="G427" s="98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</row>
    <row r="428">
      <c r="A428" s="97"/>
      <c r="B428" s="97"/>
      <c r="C428" s="97"/>
      <c r="D428" s="97"/>
      <c r="E428" s="97"/>
      <c r="F428" s="97"/>
      <c r="G428" s="98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</row>
    <row r="429">
      <c r="A429" s="97"/>
      <c r="B429" s="97"/>
      <c r="C429" s="97"/>
      <c r="D429" s="97"/>
      <c r="E429" s="97"/>
      <c r="F429" s="97"/>
      <c r="G429" s="98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</row>
    <row r="430">
      <c r="A430" s="97"/>
      <c r="B430" s="97"/>
      <c r="C430" s="97"/>
      <c r="D430" s="97"/>
      <c r="E430" s="97"/>
      <c r="F430" s="97"/>
      <c r="G430" s="98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</row>
    <row r="431">
      <c r="A431" s="97"/>
      <c r="B431" s="97"/>
      <c r="C431" s="97"/>
      <c r="D431" s="97"/>
      <c r="E431" s="97"/>
      <c r="F431" s="97"/>
      <c r="G431" s="98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</row>
    <row r="432">
      <c r="A432" s="97"/>
      <c r="B432" s="97"/>
      <c r="C432" s="97"/>
      <c r="D432" s="97"/>
      <c r="E432" s="97"/>
      <c r="F432" s="97"/>
      <c r="G432" s="98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</row>
    <row r="433">
      <c r="A433" s="97"/>
      <c r="B433" s="97"/>
      <c r="C433" s="97"/>
      <c r="D433" s="97"/>
      <c r="E433" s="97"/>
      <c r="F433" s="97"/>
      <c r="G433" s="98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</row>
    <row r="434">
      <c r="A434" s="97"/>
      <c r="B434" s="97"/>
      <c r="C434" s="97"/>
      <c r="D434" s="97"/>
      <c r="E434" s="97"/>
      <c r="F434" s="97"/>
      <c r="G434" s="98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</row>
    <row r="435">
      <c r="A435" s="97"/>
      <c r="B435" s="97"/>
      <c r="C435" s="97"/>
      <c r="D435" s="97"/>
      <c r="E435" s="97"/>
      <c r="F435" s="97"/>
      <c r="G435" s="98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</row>
    <row r="436">
      <c r="A436" s="97"/>
      <c r="B436" s="97"/>
      <c r="C436" s="97"/>
      <c r="D436" s="97"/>
      <c r="E436" s="97"/>
      <c r="F436" s="97"/>
      <c r="G436" s="98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</row>
    <row r="437">
      <c r="A437" s="97"/>
      <c r="B437" s="97"/>
      <c r="C437" s="97"/>
      <c r="D437" s="97"/>
      <c r="E437" s="97"/>
      <c r="F437" s="97"/>
      <c r="G437" s="98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</row>
    <row r="438">
      <c r="A438" s="97"/>
      <c r="B438" s="97"/>
      <c r="C438" s="97"/>
      <c r="D438" s="97"/>
      <c r="E438" s="97"/>
      <c r="F438" s="97"/>
      <c r="G438" s="98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</row>
    <row r="439">
      <c r="A439" s="97"/>
      <c r="B439" s="97"/>
      <c r="C439" s="97"/>
      <c r="D439" s="97"/>
      <c r="E439" s="97"/>
      <c r="F439" s="97"/>
      <c r="G439" s="98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</row>
    <row r="440">
      <c r="A440" s="97"/>
      <c r="B440" s="97"/>
      <c r="C440" s="97"/>
      <c r="D440" s="97"/>
      <c r="E440" s="97"/>
      <c r="F440" s="97"/>
      <c r="G440" s="98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</row>
    <row r="441">
      <c r="A441" s="97"/>
      <c r="B441" s="97"/>
      <c r="C441" s="97"/>
      <c r="D441" s="97"/>
      <c r="E441" s="97"/>
      <c r="F441" s="97"/>
      <c r="G441" s="98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</row>
    <row r="442">
      <c r="A442" s="97"/>
      <c r="B442" s="97"/>
      <c r="C442" s="97"/>
      <c r="D442" s="97"/>
      <c r="E442" s="97"/>
      <c r="F442" s="97"/>
      <c r="G442" s="98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</row>
    <row r="443">
      <c r="A443" s="97"/>
      <c r="B443" s="97"/>
      <c r="C443" s="97"/>
      <c r="D443" s="97"/>
      <c r="E443" s="97"/>
      <c r="F443" s="97"/>
      <c r="G443" s="98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</row>
    <row r="444">
      <c r="A444" s="97"/>
      <c r="B444" s="97"/>
      <c r="C444" s="97"/>
      <c r="D444" s="97"/>
      <c r="E444" s="97"/>
      <c r="F444" s="97"/>
      <c r="G444" s="98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</row>
    <row r="445">
      <c r="A445" s="97"/>
      <c r="B445" s="97"/>
      <c r="C445" s="97"/>
      <c r="D445" s="97"/>
      <c r="E445" s="97"/>
      <c r="F445" s="97"/>
      <c r="G445" s="98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</row>
    <row r="446">
      <c r="A446" s="97"/>
      <c r="B446" s="97"/>
      <c r="C446" s="97"/>
      <c r="D446" s="97"/>
      <c r="E446" s="97"/>
      <c r="F446" s="97"/>
      <c r="G446" s="98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</row>
    <row r="447">
      <c r="A447" s="97"/>
      <c r="B447" s="97"/>
      <c r="C447" s="97"/>
      <c r="D447" s="97"/>
      <c r="E447" s="97"/>
      <c r="F447" s="97"/>
      <c r="G447" s="98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</row>
    <row r="448">
      <c r="A448" s="97"/>
      <c r="B448" s="97"/>
      <c r="C448" s="97"/>
      <c r="D448" s="97"/>
      <c r="E448" s="97"/>
      <c r="F448" s="97"/>
      <c r="G448" s="98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</row>
    <row r="449">
      <c r="A449" s="97"/>
      <c r="B449" s="97"/>
      <c r="C449" s="97"/>
      <c r="D449" s="97"/>
      <c r="E449" s="97"/>
      <c r="F449" s="97"/>
      <c r="G449" s="98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</row>
    <row r="450">
      <c r="A450" s="97"/>
      <c r="B450" s="97"/>
      <c r="C450" s="97"/>
      <c r="D450" s="97"/>
      <c r="E450" s="97"/>
      <c r="F450" s="97"/>
      <c r="G450" s="98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</row>
    <row r="451">
      <c r="A451" s="97"/>
      <c r="B451" s="97"/>
      <c r="C451" s="97"/>
      <c r="D451" s="97"/>
      <c r="E451" s="97"/>
      <c r="F451" s="97"/>
      <c r="G451" s="98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</row>
    <row r="452">
      <c r="A452" s="97"/>
      <c r="B452" s="97"/>
      <c r="C452" s="97"/>
      <c r="D452" s="97"/>
      <c r="E452" s="97"/>
      <c r="F452" s="97"/>
      <c r="G452" s="98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</row>
    <row r="453">
      <c r="A453" s="97"/>
      <c r="B453" s="97"/>
      <c r="C453" s="97"/>
      <c r="D453" s="97"/>
      <c r="E453" s="97"/>
      <c r="F453" s="97"/>
      <c r="G453" s="98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</row>
    <row r="454">
      <c r="A454" s="97"/>
      <c r="B454" s="97"/>
      <c r="C454" s="97"/>
      <c r="D454" s="97"/>
      <c r="E454" s="97"/>
      <c r="F454" s="97"/>
      <c r="G454" s="98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</row>
    <row r="455">
      <c r="A455" s="97"/>
      <c r="B455" s="97"/>
      <c r="C455" s="97"/>
      <c r="D455" s="97"/>
      <c r="E455" s="97"/>
      <c r="F455" s="97"/>
      <c r="G455" s="98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</row>
    <row r="456">
      <c r="A456" s="97"/>
      <c r="B456" s="97"/>
      <c r="C456" s="97"/>
      <c r="D456" s="97"/>
      <c r="E456" s="97"/>
      <c r="F456" s="97"/>
      <c r="G456" s="98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</row>
    <row r="457">
      <c r="A457" s="97"/>
      <c r="B457" s="97"/>
      <c r="C457" s="97"/>
      <c r="D457" s="97"/>
      <c r="E457" s="97"/>
      <c r="F457" s="97"/>
      <c r="G457" s="98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</row>
    <row r="458">
      <c r="A458" s="97"/>
      <c r="B458" s="97"/>
      <c r="C458" s="97"/>
      <c r="D458" s="97"/>
      <c r="E458" s="97"/>
      <c r="F458" s="97"/>
      <c r="G458" s="98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</row>
    <row r="459">
      <c r="A459" s="97"/>
      <c r="B459" s="97"/>
      <c r="C459" s="97"/>
      <c r="D459" s="97"/>
      <c r="E459" s="97"/>
      <c r="F459" s="97"/>
      <c r="G459" s="98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</row>
    <row r="460">
      <c r="A460" s="97"/>
      <c r="B460" s="97"/>
      <c r="C460" s="97"/>
      <c r="D460" s="97"/>
      <c r="E460" s="97"/>
      <c r="F460" s="97"/>
      <c r="G460" s="98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</row>
    <row r="461">
      <c r="A461" s="97"/>
      <c r="B461" s="97"/>
      <c r="C461" s="97"/>
      <c r="D461" s="97"/>
      <c r="E461" s="97"/>
      <c r="F461" s="97"/>
      <c r="G461" s="98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</row>
    <row r="462">
      <c r="A462" s="97"/>
      <c r="B462" s="97"/>
      <c r="C462" s="97"/>
      <c r="D462" s="97"/>
      <c r="E462" s="97"/>
      <c r="F462" s="97"/>
      <c r="G462" s="98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</row>
    <row r="463">
      <c r="A463" s="97"/>
      <c r="B463" s="97"/>
      <c r="C463" s="97"/>
      <c r="D463" s="97"/>
      <c r="E463" s="97"/>
      <c r="F463" s="97"/>
      <c r="G463" s="98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</row>
    <row r="464">
      <c r="A464" s="97"/>
      <c r="B464" s="97"/>
      <c r="C464" s="97"/>
      <c r="D464" s="97"/>
      <c r="E464" s="97"/>
      <c r="F464" s="97"/>
      <c r="G464" s="98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</row>
    <row r="465">
      <c r="A465" s="97"/>
      <c r="B465" s="97"/>
      <c r="C465" s="97"/>
      <c r="D465" s="97"/>
      <c r="E465" s="97"/>
      <c r="F465" s="97"/>
      <c r="G465" s="98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</row>
    <row r="466">
      <c r="A466" s="97"/>
      <c r="B466" s="97"/>
      <c r="C466" s="97"/>
      <c r="D466" s="97"/>
      <c r="E466" s="97"/>
      <c r="F466" s="97"/>
      <c r="G466" s="98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</row>
    <row r="467">
      <c r="A467" s="97"/>
      <c r="B467" s="97"/>
      <c r="C467" s="97"/>
      <c r="D467" s="97"/>
      <c r="E467" s="97"/>
      <c r="F467" s="97"/>
      <c r="G467" s="98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</row>
    <row r="468">
      <c r="A468" s="97"/>
      <c r="B468" s="97"/>
      <c r="C468" s="97"/>
      <c r="D468" s="97"/>
      <c r="E468" s="97"/>
      <c r="F468" s="97"/>
      <c r="G468" s="98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</row>
    <row r="469">
      <c r="A469" s="97"/>
      <c r="B469" s="97"/>
      <c r="C469" s="97"/>
      <c r="D469" s="97"/>
      <c r="E469" s="97"/>
      <c r="F469" s="97"/>
      <c r="G469" s="98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</row>
    <row r="470">
      <c r="A470" s="97"/>
      <c r="B470" s="97"/>
      <c r="C470" s="97"/>
      <c r="D470" s="97"/>
      <c r="E470" s="97"/>
      <c r="F470" s="97"/>
      <c r="G470" s="98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</row>
    <row r="471">
      <c r="A471" s="97"/>
      <c r="B471" s="97"/>
      <c r="C471" s="97"/>
      <c r="D471" s="97"/>
      <c r="E471" s="97"/>
      <c r="F471" s="97"/>
      <c r="G471" s="98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</row>
    <row r="472">
      <c r="A472" s="97"/>
      <c r="B472" s="97"/>
      <c r="C472" s="97"/>
      <c r="D472" s="97"/>
      <c r="E472" s="97"/>
      <c r="F472" s="97"/>
      <c r="G472" s="98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</row>
    <row r="473">
      <c r="A473" s="97"/>
      <c r="B473" s="97"/>
      <c r="C473" s="97"/>
      <c r="D473" s="97"/>
      <c r="E473" s="97"/>
      <c r="F473" s="97"/>
      <c r="G473" s="98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</row>
    <row r="474">
      <c r="A474" s="97"/>
      <c r="B474" s="97"/>
      <c r="C474" s="97"/>
      <c r="D474" s="97"/>
      <c r="E474" s="97"/>
      <c r="F474" s="97"/>
      <c r="G474" s="98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</row>
    <row r="475">
      <c r="A475" s="97"/>
      <c r="B475" s="97"/>
      <c r="C475" s="97"/>
      <c r="D475" s="97"/>
      <c r="E475" s="97"/>
      <c r="F475" s="97"/>
      <c r="G475" s="98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</row>
    <row r="476">
      <c r="A476" s="97"/>
      <c r="B476" s="97"/>
      <c r="C476" s="97"/>
      <c r="D476" s="97"/>
      <c r="E476" s="97"/>
      <c r="F476" s="97"/>
      <c r="G476" s="98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</row>
    <row r="477">
      <c r="A477" s="97"/>
      <c r="B477" s="97"/>
      <c r="C477" s="97"/>
      <c r="D477" s="97"/>
      <c r="E477" s="97"/>
      <c r="F477" s="97"/>
      <c r="G477" s="98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</row>
    <row r="478">
      <c r="A478" s="97"/>
      <c r="B478" s="97"/>
      <c r="C478" s="97"/>
      <c r="D478" s="97"/>
      <c r="E478" s="97"/>
      <c r="F478" s="97"/>
      <c r="G478" s="98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</row>
    <row r="479">
      <c r="A479" s="97"/>
      <c r="B479" s="97"/>
      <c r="C479" s="97"/>
      <c r="D479" s="97"/>
      <c r="E479" s="97"/>
      <c r="F479" s="97"/>
      <c r="G479" s="98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</row>
    <row r="480">
      <c r="A480" s="97"/>
      <c r="B480" s="97"/>
      <c r="C480" s="97"/>
      <c r="D480" s="97"/>
      <c r="E480" s="97"/>
      <c r="F480" s="97"/>
      <c r="G480" s="98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</row>
    <row r="481">
      <c r="A481" s="97"/>
      <c r="B481" s="97"/>
      <c r="C481" s="97"/>
      <c r="D481" s="97"/>
      <c r="E481" s="97"/>
      <c r="F481" s="97"/>
      <c r="G481" s="98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</row>
    <row r="482">
      <c r="A482" s="97"/>
      <c r="B482" s="97"/>
      <c r="C482" s="97"/>
      <c r="D482" s="97"/>
      <c r="E482" s="97"/>
      <c r="F482" s="97"/>
      <c r="G482" s="98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</row>
    <row r="483">
      <c r="A483" s="97"/>
      <c r="B483" s="97"/>
      <c r="C483" s="97"/>
      <c r="D483" s="97"/>
      <c r="E483" s="97"/>
      <c r="F483" s="97"/>
      <c r="G483" s="98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</row>
    <row r="484">
      <c r="A484" s="97"/>
      <c r="B484" s="97"/>
      <c r="C484" s="97"/>
      <c r="D484" s="97"/>
      <c r="E484" s="97"/>
      <c r="F484" s="97"/>
      <c r="G484" s="98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</row>
    <row r="485">
      <c r="A485" s="97"/>
      <c r="B485" s="97"/>
      <c r="C485" s="97"/>
      <c r="D485" s="97"/>
      <c r="E485" s="97"/>
      <c r="F485" s="97"/>
      <c r="G485" s="98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</row>
    <row r="486">
      <c r="A486" s="97"/>
      <c r="B486" s="97"/>
      <c r="C486" s="97"/>
      <c r="D486" s="97"/>
      <c r="E486" s="97"/>
      <c r="F486" s="97"/>
      <c r="G486" s="98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</row>
    <row r="487">
      <c r="A487" s="97"/>
      <c r="B487" s="97"/>
      <c r="C487" s="97"/>
      <c r="D487" s="97"/>
      <c r="E487" s="97"/>
      <c r="F487" s="97"/>
      <c r="G487" s="98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</row>
    <row r="488">
      <c r="A488" s="97"/>
      <c r="B488" s="97"/>
      <c r="C488" s="97"/>
      <c r="D488" s="97"/>
      <c r="E488" s="97"/>
      <c r="F488" s="97"/>
      <c r="G488" s="98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</row>
    <row r="489">
      <c r="A489" s="97"/>
      <c r="B489" s="97"/>
      <c r="C489" s="97"/>
      <c r="D489" s="97"/>
      <c r="E489" s="97"/>
      <c r="F489" s="97"/>
      <c r="G489" s="98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</row>
    <row r="490">
      <c r="A490" s="97"/>
      <c r="B490" s="97"/>
      <c r="C490" s="97"/>
      <c r="D490" s="97"/>
      <c r="E490" s="97"/>
      <c r="F490" s="97"/>
      <c r="G490" s="98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</row>
    <row r="491">
      <c r="A491" s="97"/>
      <c r="B491" s="97"/>
      <c r="C491" s="97"/>
      <c r="D491" s="97"/>
      <c r="E491" s="97"/>
      <c r="F491" s="97"/>
      <c r="G491" s="98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</row>
    <row r="492">
      <c r="A492" s="97"/>
      <c r="B492" s="97"/>
      <c r="C492" s="97"/>
      <c r="D492" s="97"/>
      <c r="E492" s="97"/>
      <c r="F492" s="97"/>
      <c r="G492" s="98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</row>
    <row r="493">
      <c r="A493" s="97"/>
      <c r="B493" s="97"/>
      <c r="C493" s="97"/>
      <c r="D493" s="97"/>
      <c r="E493" s="97"/>
      <c r="F493" s="97"/>
      <c r="G493" s="98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</row>
    <row r="494">
      <c r="A494" s="97"/>
      <c r="B494" s="97"/>
      <c r="C494" s="97"/>
      <c r="D494" s="97"/>
      <c r="E494" s="97"/>
      <c r="F494" s="97"/>
      <c r="G494" s="98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</row>
    <row r="495">
      <c r="A495" s="97"/>
      <c r="B495" s="97"/>
      <c r="C495" s="97"/>
      <c r="D495" s="97"/>
      <c r="E495" s="97"/>
      <c r="F495" s="97"/>
      <c r="G495" s="98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</row>
    <row r="496">
      <c r="A496" s="97"/>
      <c r="B496" s="97"/>
      <c r="C496" s="97"/>
      <c r="D496" s="97"/>
      <c r="E496" s="97"/>
      <c r="F496" s="97"/>
      <c r="G496" s="98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</row>
    <row r="497">
      <c r="A497" s="97"/>
      <c r="B497" s="97"/>
      <c r="C497" s="97"/>
      <c r="D497" s="97"/>
      <c r="E497" s="97"/>
      <c r="F497" s="97"/>
      <c r="G497" s="98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</row>
    <row r="498">
      <c r="A498" s="97"/>
      <c r="B498" s="97"/>
      <c r="C498" s="97"/>
      <c r="D498" s="97"/>
      <c r="E498" s="97"/>
      <c r="F498" s="97"/>
      <c r="G498" s="98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</row>
    <row r="499">
      <c r="A499" s="97"/>
      <c r="B499" s="97"/>
      <c r="C499" s="97"/>
      <c r="D499" s="97"/>
      <c r="E499" s="97"/>
      <c r="F499" s="97"/>
      <c r="G499" s="98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</row>
    <row r="500">
      <c r="A500" s="97"/>
      <c r="B500" s="97"/>
      <c r="C500" s="97"/>
      <c r="D500" s="97"/>
      <c r="E500" s="97"/>
      <c r="F500" s="97"/>
      <c r="G500" s="98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</row>
    <row r="501">
      <c r="A501" s="97"/>
      <c r="B501" s="97"/>
      <c r="C501" s="97"/>
      <c r="D501" s="97"/>
      <c r="E501" s="97"/>
      <c r="F501" s="97"/>
      <c r="G501" s="98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</row>
    <row r="502">
      <c r="A502" s="97"/>
      <c r="B502" s="97"/>
      <c r="C502" s="97"/>
      <c r="D502" s="97"/>
      <c r="E502" s="97"/>
      <c r="F502" s="97"/>
      <c r="G502" s="98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</row>
    <row r="503">
      <c r="A503" s="97"/>
      <c r="B503" s="97"/>
      <c r="C503" s="97"/>
      <c r="D503" s="97"/>
      <c r="E503" s="97"/>
      <c r="F503" s="97"/>
      <c r="G503" s="98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</row>
    <row r="504">
      <c r="A504" s="97"/>
      <c r="B504" s="97"/>
      <c r="C504" s="97"/>
      <c r="D504" s="97"/>
      <c r="E504" s="97"/>
      <c r="F504" s="97"/>
      <c r="G504" s="98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</row>
    <row r="505">
      <c r="A505" s="97"/>
      <c r="B505" s="97"/>
      <c r="C505" s="97"/>
      <c r="D505" s="97"/>
      <c r="E505" s="97"/>
      <c r="F505" s="97"/>
      <c r="G505" s="98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</row>
    <row r="506">
      <c r="A506" s="97"/>
      <c r="B506" s="97"/>
      <c r="C506" s="97"/>
      <c r="D506" s="97"/>
      <c r="E506" s="97"/>
      <c r="F506" s="97"/>
      <c r="G506" s="98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</row>
    <row r="507">
      <c r="A507" s="97"/>
      <c r="B507" s="97"/>
      <c r="C507" s="97"/>
      <c r="D507" s="97"/>
      <c r="E507" s="97"/>
      <c r="F507" s="97"/>
      <c r="G507" s="98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</row>
    <row r="508">
      <c r="A508" s="97"/>
      <c r="B508" s="97"/>
      <c r="C508" s="97"/>
      <c r="D508" s="97"/>
      <c r="E508" s="97"/>
      <c r="F508" s="97"/>
      <c r="G508" s="98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</row>
    <row r="509">
      <c r="A509" s="97"/>
      <c r="B509" s="97"/>
      <c r="C509" s="97"/>
      <c r="D509" s="97"/>
      <c r="E509" s="97"/>
      <c r="F509" s="97"/>
      <c r="G509" s="98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</row>
    <row r="510">
      <c r="A510" s="97"/>
      <c r="B510" s="97"/>
      <c r="C510" s="97"/>
      <c r="D510" s="97"/>
      <c r="E510" s="97"/>
      <c r="F510" s="97"/>
      <c r="G510" s="98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</row>
    <row r="511">
      <c r="A511" s="97"/>
      <c r="B511" s="97"/>
      <c r="C511" s="97"/>
      <c r="D511" s="97"/>
      <c r="E511" s="97"/>
      <c r="F511" s="97"/>
      <c r="G511" s="98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</row>
    <row r="512">
      <c r="A512" s="97"/>
      <c r="B512" s="97"/>
      <c r="C512" s="97"/>
      <c r="D512" s="97"/>
      <c r="E512" s="97"/>
      <c r="F512" s="97"/>
      <c r="G512" s="98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</row>
    <row r="513">
      <c r="A513" s="97"/>
      <c r="B513" s="97"/>
      <c r="C513" s="97"/>
      <c r="D513" s="97"/>
      <c r="E513" s="97"/>
      <c r="F513" s="97"/>
      <c r="G513" s="98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</row>
    <row r="514">
      <c r="A514" s="97"/>
      <c r="B514" s="97"/>
      <c r="C514" s="97"/>
      <c r="D514" s="97"/>
      <c r="E514" s="97"/>
      <c r="F514" s="97"/>
      <c r="G514" s="98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</row>
    <row r="515">
      <c r="A515" s="97"/>
      <c r="B515" s="97"/>
      <c r="C515" s="97"/>
      <c r="D515" s="97"/>
      <c r="E515" s="97"/>
      <c r="F515" s="97"/>
      <c r="G515" s="98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</row>
    <row r="516">
      <c r="A516" s="97"/>
      <c r="B516" s="97"/>
      <c r="C516" s="97"/>
      <c r="D516" s="97"/>
      <c r="E516" s="97"/>
      <c r="F516" s="97"/>
      <c r="G516" s="98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</row>
    <row r="517">
      <c r="A517" s="97"/>
      <c r="B517" s="97"/>
      <c r="C517" s="97"/>
      <c r="D517" s="97"/>
      <c r="E517" s="97"/>
      <c r="F517" s="97"/>
      <c r="G517" s="98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</row>
    <row r="518">
      <c r="A518" s="97"/>
      <c r="B518" s="97"/>
      <c r="C518" s="97"/>
      <c r="D518" s="97"/>
      <c r="E518" s="97"/>
      <c r="F518" s="97"/>
      <c r="G518" s="98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</row>
    <row r="519">
      <c r="A519" s="97"/>
      <c r="B519" s="97"/>
      <c r="C519" s="97"/>
      <c r="D519" s="97"/>
      <c r="E519" s="97"/>
      <c r="F519" s="97"/>
      <c r="G519" s="98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</row>
    <row r="520">
      <c r="A520" s="97"/>
      <c r="B520" s="97"/>
      <c r="C520" s="97"/>
      <c r="D520" s="97"/>
      <c r="E520" s="97"/>
      <c r="F520" s="97"/>
      <c r="G520" s="98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</row>
    <row r="521">
      <c r="A521" s="97"/>
      <c r="B521" s="97"/>
      <c r="C521" s="97"/>
      <c r="D521" s="97"/>
      <c r="E521" s="97"/>
      <c r="F521" s="97"/>
      <c r="G521" s="98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</row>
    <row r="522">
      <c r="A522" s="97"/>
      <c r="B522" s="97"/>
      <c r="C522" s="97"/>
      <c r="D522" s="97"/>
      <c r="E522" s="97"/>
      <c r="F522" s="97"/>
      <c r="G522" s="98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</row>
    <row r="523">
      <c r="A523" s="97"/>
      <c r="B523" s="97"/>
      <c r="C523" s="97"/>
      <c r="D523" s="97"/>
      <c r="E523" s="97"/>
      <c r="F523" s="97"/>
      <c r="G523" s="98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</row>
    <row r="524">
      <c r="A524" s="97"/>
      <c r="B524" s="97"/>
      <c r="C524" s="97"/>
      <c r="D524" s="97"/>
      <c r="E524" s="97"/>
      <c r="F524" s="97"/>
      <c r="G524" s="98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</row>
    <row r="525">
      <c r="A525" s="97"/>
      <c r="B525" s="97"/>
      <c r="C525" s="97"/>
      <c r="D525" s="97"/>
      <c r="E525" s="97"/>
      <c r="F525" s="97"/>
      <c r="G525" s="98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</row>
    <row r="526">
      <c r="A526" s="97"/>
      <c r="B526" s="97"/>
      <c r="C526" s="97"/>
      <c r="D526" s="97"/>
      <c r="E526" s="97"/>
      <c r="F526" s="97"/>
      <c r="G526" s="98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>
      <c r="A527" s="97"/>
      <c r="B527" s="97"/>
      <c r="C527" s="97"/>
      <c r="D527" s="97"/>
      <c r="E527" s="97"/>
      <c r="F527" s="97"/>
      <c r="G527" s="98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</row>
    <row r="528">
      <c r="A528" s="97"/>
      <c r="B528" s="97"/>
      <c r="C528" s="97"/>
      <c r="D528" s="97"/>
      <c r="E528" s="97"/>
      <c r="F528" s="97"/>
      <c r="G528" s="98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>
      <c r="A529" s="97"/>
      <c r="B529" s="97"/>
      <c r="C529" s="97"/>
      <c r="D529" s="97"/>
      <c r="E529" s="97"/>
      <c r="F529" s="97"/>
      <c r="G529" s="98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>
      <c r="A530" s="97"/>
      <c r="B530" s="97"/>
      <c r="C530" s="97"/>
      <c r="D530" s="97"/>
      <c r="E530" s="97"/>
      <c r="F530" s="97"/>
      <c r="G530" s="98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</row>
    <row r="531">
      <c r="A531" s="97"/>
      <c r="B531" s="97"/>
      <c r="C531" s="97"/>
      <c r="D531" s="97"/>
      <c r="E531" s="97"/>
      <c r="F531" s="97"/>
      <c r="G531" s="98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</row>
    <row r="532">
      <c r="A532" s="97"/>
      <c r="B532" s="97"/>
      <c r="C532" s="97"/>
      <c r="D532" s="97"/>
      <c r="E532" s="97"/>
      <c r="F532" s="97"/>
      <c r="G532" s="98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</row>
    <row r="533">
      <c r="A533" s="97"/>
      <c r="B533" s="97"/>
      <c r="C533" s="97"/>
      <c r="D533" s="97"/>
      <c r="E533" s="97"/>
      <c r="F533" s="97"/>
      <c r="G533" s="98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</row>
    <row r="534">
      <c r="A534" s="97"/>
      <c r="B534" s="97"/>
      <c r="C534" s="97"/>
      <c r="D534" s="97"/>
      <c r="E534" s="97"/>
      <c r="F534" s="97"/>
      <c r="G534" s="98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</row>
    <row r="535">
      <c r="A535" s="97"/>
      <c r="B535" s="97"/>
      <c r="C535" s="97"/>
      <c r="D535" s="97"/>
      <c r="E535" s="97"/>
      <c r="F535" s="97"/>
      <c r="G535" s="98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</row>
    <row r="536">
      <c r="A536" s="97"/>
      <c r="B536" s="97"/>
      <c r="C536" s="97"/>
      <c r="D536" s="97"/>
      <c r="E536" s="97"/>
      <c r="F536" s="97"/>
      <c r="G536" s="98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</row>
    <row r="537">
      <c r="A537" s="97"/>
      <c r="B537" s="97"/>
      <c r="C537" s="97"/>
      <c r="D537" s="97"/>
      <c r="E537" s="97"/>
      <c r="F537" s="97"/>
      <c r="G537" s="98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</row>
    <row r="538">
      <c r="A538" s="97"/>
      <c r="B538" s="97"/>
      <c r="C538" s="97"/>
      <c r="D538" s="97"/>
      <c r="E538" s="97"/>
      <c r="F538" s="97"/>
      <c r="G538" s="98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</row>
    <row r="539">
      <c r="A539" s="97"/>
      <c r="B539" s="97"/>
      <c r="C539" s="97"/>
      <c r="D539" s="97"/>
      <c r="E539" s="97"/>
      <c r="F539" s="97"/>
      <c r="G539" s="98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</row>
    <row r="540">
      <c r="A540" s="97"/>
      <c r="B540" s="97"/>
      <c r="C540" s="97"/>
      <c r="D540" s="97"/>
      <c r="E540" s="97"/>
      <c r="F540" s="97"/>
      <c r="G540" s="98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</row>
    <row r="541">
      <c r="A541" s="97"/>
      <c r="B541" s="97"/>
      <c r="C541" s="97"/>
      <c r="D541" s="97"/>
      <c r="E541" s="97"/>
      <c r="F541" s="97"/>
      <c r="G541" s="98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</row>
    <row r="542">
      <c r="A542" s="97"/>
      <c r="B542" s="97"/>
      <c r="C542" s="97"/>
      <c r="D542" s="97"/>
      <c r="E542" s="97"/>
      <c r="F542" s="97"/>
      <c r="G542" s="98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</row>
    <row r="543">
      <c r="A543" s="97"/>
      <c r="B543" s="97"/>
      <c r="C543" s="97"/>
      <c r="D543" s="97"/>
      <c r="E543" s="97"/>
      <c r="F543" s="97"/>
      <c r="G543" s="98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</row>
    <row r="544">
      <c r="A544" s="97"/>
      <c r="B544" s="97"/>
      <c r="C544" s="97"/>
      <c r="D544" s="97"/>
      <c r="E544" s="97"/>
      <c r="F544" s="97"/>
      <c r="G544" s="98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</row>
    <row r="545">
      <c r="A545" s="97"/>
      <c r="B545" s="97"/>
      <c r="C545" s="97"/>
      <c r="D545" s="97"/>
      <c r="E545" s="97"/>
      <c r="F545" s="97"/>
      <c r="G545" s="98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</row>
    <row r="546">
      <c r="A546" s="97"/>
      <c r="B546" s="97"/>
      <c r="C546" s="97"/>
      <c r="D546" s="97"/>
      <c r="E546" s="97"/>
      <c r="F546" s="97"/>
      <c r="G546" s="98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</row>
    <row r="547">
      <c r="A547" s="97"/>
      <c r="B547" s="97"/>
      <c r="C547" s="97"/>
      <c r="D547" s="97"/>
      <c r="E547" s="97"/>
      <c r="F547" s="97"/>
      <c r="G547" s="98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</row>
    <row r="548">
      <c r="A548" s="97"/>
      <c r="B548" s="97"/>
      <c r="C548" s="97"/>
      <c r="D548" s="97"/>
      <c r="E548" s="97"/>
      <c r="F548" s="97"/>
      <c r="G548" s="98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</row>
    <row r="549">
      <c r="A549" s="97"/>
      <c r="B549" s="97"/>
      <c r="C549" s="97"/>
      <c r="D549" s="97"/>
      <c r="E549" s="97"/>
      <c r="F549" s="97"/>
      <c r="G549" s="98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</row>
    <row r="550">
      <c r="A550" s="97"/>
      <c r="B550" s="97"/>
      <c r="C550" s="97"/>
      <c r="D550" s="97"/>
      <c r="E550" s="97"/>
      <c r="F550" s="97"/>
      <c r="G550" s="98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</row>
    <row r="551">
      <c r="A551" s="97"/>
      <c r="B551" s="97"/>
      <c r="C551" s="97"/>
      <c r="D551" s="97"/>
      <c r="E551" s="97"/>
      <c r="F551" s="97"/>
      <c r="G551" s="98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</row>
    <row r="552">
      <c r="A552" s="97"/>
      <c r="B552" s="97"/>
      <c r="C552" s="97"/>
      <c r="D552" s="97"/>
      <c r="E552" s="97"/>
      <c r="F552" s="97"/>
      <c r="G552" s="98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</row>
    <row r="553">
      <c r="A553" s="97"/>
      <c r="B553" s="97"/>
      <c r="C553" s="97"/>
      <c r="D553" s="97"/>
      <c r="E553" s="97"/>
      <c r="F553" s="97"/>
      <c r="G553" s="98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</row>
    <row r="554">
      <c r="A554" s="97"/>
      <c r="B554" s="97"/>
      <c r="C554" s="97"/>
      <c r="D554" s="97"/>
      <c r="E554" s="97"/>
      <c r="F554" s="97"/>
      <c r="G554" s="98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</row>
    <row r="555">
      <c r="A555" s="97"/>
      <c r="B555" s="97"/>
      <c r="C555" s="97"/>
      <c r="D555" s="97"/>
      <c r="E555" s="97"/>
      <c r="F555" s="97"/>
      <c r="G555" s="98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</row>
    <row r="556">
      <c r="A556" s="97"/>
      <c r="B556" s="97"/>
      <c r="C556" s="97"/>
      <c r="D556" s="97"/>
      <c r="E556" s="97"/>
      <c r="F556" s="97"/>
      <c r="G556" s="98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</row>
    <row r="557">
      <c r="A557" s="97"/>
      <c r="B557" s="97"/>
      <c r="C557" s="97"/>
      <c r="D557" s="97"/>
      <c r="E557" s="97"/>
      <c r="F557" s="97"/>
      <c r="G557" s="98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</row>
    <row r="558">
      <c r="A558" s="97"/>
      <c r="B558" s="97"/>
      <c r="C558" s="97"/>
      <c r="D558" s="97"/>
      <c r="E558" s="97"/>
      <c r="F558" s="97"/>
      <c r="G558" s="98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</row>
    <row r="559">
      <c r="A559" s="97"/>
      <c r="B559" s="97"/>
      <c r="C559" s="97"/>
      <c r="D559" s="97"/>
      <c r="E559" s="97"/>
      <c r="F559" s="97"/>
      <c r="G559" s="98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</row>
    <row r="560">
      <c r="A560" s="97"/>
      <c r="B560" s="97"/>
      <c r="C560" s="97"/>
      <c r="D560" s="97"/>
      <c r="E560" s="97"/>
      <c r="F560" s="97"/>
      <c r="G560" s="98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</row>
    <row r="561">
      <c r="A561" s="97"/>
      <c r="B561" s="97"/>
      <c r="C561" s="97"/>
      <c r="D561" s="97"/>
      <c r="E561" s="97"/>
      <c r="F561" s="97"/>
      <c r="G561" s="98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</row>
    <row r="562">
      <c r="A562" s="97"/>
      <c r="B562" s="97"/>
      <c r="C562" s="97"/>
      <c r="D562" s="97"/>
      <c r="E562" s="97"/>
      <c r="F562" s="97"/>
      <c r="G562" s="98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</row>
    <row r="563">
      <c r="A563" s="97"/>
      <c r="B563" s="97"/>
      <c r="C563" s="97"/>
      <c r="D563" s="97"/>
      <c r="E563" s="97"/>
      <c r="F563" s="97"/>
      <c r="G563" s="98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</row>
    <row r="564">
      <c r="A564" s="97"/>
      <c r="B564" s="97"/>
      <c r="C564" s="97"/>
      <c r="D564" s="97"/>
      <c r="E564" s="97"/>
      <c r="F564" s="97"/>
      <c r="G564" s="98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</row>
    <row r="565">
      <c r="A565" s="97"/>
      <c r="B565" s="97"/>
      <c r="C565" s="97"/>
      <c r="D565" s="97"/>
      <c r="E565" s="97"/>
      <c r="F565" s="97"/>
      <c r="G565" s="98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</row>
    <row r="566">
      <c r="A566" s="97"/>
      <c r="B566" s="97"/>
      <c r="C566" s="97"/>
      <c r="D566" s="97"/>
      <c r="E566" s="97"/>
      <c r="F566" s="97"/>
      <c r="G566" s="98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</row>
    <row r="567">
      <c r="A567" s="97"/>
      <c r="B567" s="97"/>
      <c r="C567" s="97"/>
      <c r="D567" s="97"/>
      <c r="E567" s="97"/>
      <c r="F567" s="97"/>
      <c r="G567" s="98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</row>
    <row r="568">
      <c r="A568" s="97"/>
      <c r="B568" s="97"/>
      <c r="C568" s="97"/>
      <c r="D568" s="97"/>
      <c r="E568" s="97"/>
      <c r="F568" s="97"/>
      <c r="G568" s="98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</row>
    <row r="569">
      <c r="A569" s="97"/>
      <c r="B569" s="97"/>
      <c r="C569" s="97"/>
      <c r="D569" s="97"/>
      <c r="E569" s="97"/>
      <c r="F569" s="97"/>
      <c r="G569" s="98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</row>
    <row r="570">
      <c r="A570" s="97"/>
      <c r="B570" s="97"/>
      <c r="C570" s="97"/>
      <c r="D570" s="97"/>
      <c r="E570" s="97"/>
      <c r="F570" s="97"/>
      <c r="G570" s="98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</row>
    <row r="571">
      <c r="A571" s="97"/>
      <c r="B571" s="97"/>
      <c r="C571" s="97"/>
      <c r="D571" s="97"/>
      <c r="E571" s="97"/>
      <c r="F571" s="97"/>
      <c r="G571" s="98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</row>
    <row r="572">
      <c r="A572" s="97"/>
      <c r="B572" s="97"/>
      <c r="C572" s="97"/>
      <c r="D572" s="97"/>
      <c r="E572" s="97"/>
      <c r="F572" s="97"/>
      <c r="G572" s="98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</row>
    <row r="573">
      <c r="A573" s="97"/>
      <c r="B573" s="97"/>
      <c r="C573" s="97"/>
      <c r="D573" s="97"/>
      <c r="E573" s="97"/>
      <c r="F573" s="97"/>
      <c r="G573" s="98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</row>
    <row r="574">
      <c r="A574" s="97"/>
      <c r="B574" s="97"/>
      <c r="C574" s="97"/>
      <c r="D574" s="97"/>
      <c r="E574" s="97"/>
      <c r="F574" s="97"/>
      <c r="G574" s="98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</row>
    <row r="575">
      <c r="A575" s="97"/>
      <c r="B575" s="97"/>
      <c r="C575" s="97"/>
      <c r="D575" s="97"/>
      <c r="E575" s="97"/>
      <c r="F575" s="97"/>
      <c r="G575" s="98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</row>
    <row r="576">
      <c r="A576" s="97"/>
      <c r="B576" s="97"/>
      <c r="C576" s="97"/>
      <c r="D576" s="97"/>
      <c r="E576" s="97"/>
      <c r="F576" s="97"/>
      <c r="G576" s="98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</row>
    <row r="577">
      <c r="A577" s="97"/>
      <c r="B577" s="97"/>
      <c r="C577" s="97"/>
      <c r="D577" s="97"/>
      <c r="E577" s="97"/>
      <c r="F577" s="97"/>
      <c r="G577" s="98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</row>
    <row r="578">
      <c r="A578" s="97"/>
      <c r="B578" s="97"/>
      <c r="C578" s="97"/>
      <c r="D578" s="97"/>
      <c r="E578" s="97"/>
      <c r="F578" s="97"/>
      <c r="G578" s="98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</row>
    <row r="579">
      <c r="A579" s="97"/>
      <c r="B579" s="97"/>
      <c r="C579" s="97"/>
      <c r="D579" s="97"/>
      <c r="E579" s="97"/>
      <c r="F579" s="97"/>
      <c r="G579" s="98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</row>
    <row r="580">
      <c r="A580" s="97"/>
      <c r="B580" s="97"/>
      <c r="C580" s="97"/>
      <c r="D580" s="97"/>
      <c r="E580" s="97"/>
      <c r="F580" s="97"/>
      <c r="G580" s="98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</row>
    <row r="581">
      <c r="A581" s="97"/>
      <c r="B581" s="97"/>
      <c r="C581" s="97"/>
      <c r="D581" s="97"/>
      <c r="E581" s="97"/>
      <c r="F581" s="97"/>
      <c r="G581" s="98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</row>
    <row r="582">
      <c r="A582" s="97"/>
      <c r="B582" s="97"/>
      <c r="C582" s="97"/>
      <c r="D582" s="97"/>
      <c r="E582" s="97"/>
      <c r="F582" s="97"/>
      <c r="G582" s="98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</row>
    <row r="583">
      <c r="A583" s="97"/>
      <c r="B583" s="97"/>
      <c r="C583" s="97"/>
      <c r="D583" s="97"/>
      <c r="E583" s="97"/>
      <c r="F583" s="97"/>
      <c r="G583" s="98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</row>
    <row r="584">
      <c r="A584" s="97"/>
      <c r="B584" s="97"/>
      <c r="C584" s="97"/>
      <c r="D584" s="97"/>
      <c r="E584" s="97"/>
      <c r="F584" s="97"/>
      <c r="G584" s="98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</row>
    <row r="585">
      <c r="A585" s="97"/>
      <c r="B585" s="97"/>
      <c r="C585" s="97"/>
      <c r="D585" s="97"/>
      <c r="E585" s="97"/>
      <c r="F585" s="97"/>
      <c r="G585" s="98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</row>
    <row r="586">
      <c r="A586" s="97"/>
      <c r="B586" s="97"/>
      <c r="C586" s="97"/>
      <c r="D586" s="97"/>
      <c r="E586" s="97"/>
      <c r="F586" s="97"/>
      <c r="G586" s="98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</row>
    <row r="587">
      <c r="A587" s="97"/>
      <c r="B587" s="97"/>
      <c r="C587" s="97"/>
      <c r="D587" s="97"/>
      <c r="E587" s="97"/>
      <c r="F587" s="97"/>
      <c r="G587" s="98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</row>
    <row r="588">
      <c r="A588" s="97"/>
      <c r="B588" s="97"/>
      <c r="C588" s="97"/>
      <c r="D588" s="97"/>
      <c r="E588" s="97"/>
      <c r="F588" s="97"/>
      <c r="G588" s="98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</row>
    <row r="589">
      <c r="A589" s="97"/>
      <c r="B589" s="97"/>
      <c r="C589" s="97"/>
      <c r="D589" s="97"/>
      <c r="E589" s="97"/>
      <c r="F589" s="97"/>
      <c r="G589" s="98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</row>
    <row r="590">
      <c r="A590" s="97"/>
      <c r="B590" s="97"/>
      <c r="C590" s="97"/>
      <c r="D590" s="97"/>
      <c r="E590" s="97"/>
      <c r="F590" s="97"/>
      <c r="G590" s="98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</row>
    <row r="591">
      <c r="A591" s="97"/>
      <c r="B591" s="97"/>
      <c r="C591" s="97"/>
      <c r="D591" s="97"/>
      <c r="E591" s="97"/>
      <c r="F591" s="97"/>
      <c r="G591" s="98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</row>
    <row r="592">
      <c r="A592" s="97"/>
      <c r="B592" s="97"/>
      <c r="C592" s="97"/>
      <c r="D592" s="97"/>
      <c r="E592" s="97"/>
      <c r="F592" s="97"/>
      <c r="G592" s="98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</row>
    <row r="593">
      <c r="A593" s="97"/>
      <c r="B593" s="97"/>
      <c r="C593" s="97"/>
      <c r="D593" s="97"/>
      <c r="E593" s="97"/>
      <c r="F593" s="97"/>
      <c r="G593" s="98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</row>
    <row r="594">
      <c r="A594" s="97"/>
      <c r="B594" s="97"/>
      <c r="C594" s="97"/>
      <c r="D594" s="97"/>
      <c r="E594" s="97"/>
      <c r="F594" s="97"/>
      <c r="G594" s="98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</row>
    <row r="595">
      <c r="A595" s="97"/>
      <c r="B595" s="97"/>
      <c r="C595" s="97"/>
      <c r="D595" s="97"/>
      <c r="E595" s="97"/>
      <c r="F595" s="97"/>
      <c r="G595" s="98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</row>
    <row r="596">
      <c r="A596" s="97"/>
      <c r="B596" s="97"/>
      <c r="C596" s="97"/>
      <c r="D596" s="97"/>
      <c r="E596" s="97"/>
      <c r="F596" s="97"/>
      <c r="G596" s="98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</row>
    <row r="597">
      <c r="A597" s="97"/>
      <c r="B597" s="97"/>
      <c r="C597" s="97"/>
      <c r="D597" s="97"/>
      <c r="E597" s="97"/>
      <c r="F597" s="97"/>
      <c r="G597" s="98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</row>
    <row r="598">
      <c r="A598" s="97"/>
      <c r="B598" s="97"/>
      <c r="C598" s="97"/>
      <c r="D598" s="97"/>
      <c r="E598" s="97"/>
      <c r="F598" s="97"/>
      <c r="G598" s="98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</row>
    <row r="599">
      <c r="A599" s="97"/>
      <c r="B599" s="97"/>
      <c r="C599" s="97"/>
      <c r="D599" s="97"/>
      <c r="E599" s="97"/>
      <c r="F599" s="97"/>
      <c r="G599" s="98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</row>
    <row r="600">
      <c r="A600" s="97"/>
      <c r="B600" s="97"/>
      <c r="C600" s="97"/>
      <c r="D600" s="97"/>
      <c r="E600" s="97"/>
      <c r="F600" s="97"/>
      <c r="G600" s="98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</row>
    <row r="601">
      <c r="A601" s="97"/>
      <c r="B601" s="97"/>
      <c r="C601" s="97"/>
      <c r="D601" s="97"/>
      <c r="E601" s="97"/>
      <c r="F601" s="97"/>
      <c r="G601" s="98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</row>
    <row r="602">
      <c r="A602" s="97"/>
      <c r="B602" s="97"/>
      <c r="C602" s="97"/>
      <c r="D602" s="97"/>
      <c r="E602" s="97"/>
      <c r="F602" s="97"/>
      <c r="G602" s="98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</row>
    <row r="603">
      <c r="A603" s="97"/>
      <c r="B603" s="97"/>
      <c r="C603" s="97"/>
      <c r="D603" s="97"/>
      <c r="E603" s="97"/>
      <c r="F603" s="97"/>
      <c r="G603" s="98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</row>
    <row r="604">
      <c r="A604" s="97"/>
      <c r="B604" s="97"/>
      <c r="C604" s="97"/>
      <c r="D604" s="97"/>
      <c r="E604" s="97"/>
      <c r="F604" s="97"/>
      <c r="G604" s="98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</row>
    <row r="605">
      <c r="A605" s="97"/>
      <c r="B605" s="97"/>
      <c r="C605" s="97"/>
      <c r="D605" s="97"/>
      <c r="E605" s="97"/>
      <c r="F605" s="97"/>
      <c r="G605" s="98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</row>
    <row r="606">
      <c r="A606" s="97"/>
      <c r="B606" s="97"/>
      <c r="C606" s="97"/>
      <c r="D606" s="97"/>
      <c r="E606" s="97"/>
      <c r="F606" s="97"/>
      <c r="G606" s="98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</row>
    <row r="607">
      <c r="A607" s="97"/>
      <c r="B607" s="97"/>
      <c r="C607" s="97"/>
      <c r="D607" s="97"/>
      <c r="E607" s="97"/>
      <c r="F607" s="97"/>
      <c r="G607" s="98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</row>
    <row r="608">
      <c r="A608" s="97"/>
      <c r="B608" s="97"/>
      <c r="C608" s="97"/>
      <c r="D608" s="97"/>
      <c r="E608" s="97"/>
      <c r="F608" s="97"/>
      <c r="G608" s="98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</row>
    <row r="609">
      <c r="A609" s="97"/>
      <c r="B609" s="97"/>
      <c r="C609" s="97"/>
      <c r="D609" s="97"/>
      <c r="E609" s="97"/>
      <c r="F609" s="97"/>
      <c r="G609" s="98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</row>
    <row r="610">
      <c r="A610" s="97"/>
      <c r="B610" s="97"/>
      <c r="C610" s="97"/>
      <c r="D610" s="97"/>
      <c r="E610" s="97"/>
      <c r="F610" s="97"/>
      <c r="G610" s="98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</row>
    <row r="611">
      <c r="A611" s="97"/>
      <c r="B611" s="97"/>
      <c r="C611" s="97"/>
      <c r="D611" s="97"/>
      <c r="E611" s="97"/>
      <c r="F611" s="97"/>
      <c r="G611" s="98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</row>
    <row r="612">
      <c r="A612" s="97"/>
      <c r="B612" s="97"/>
      <c r="C612" s="97"/>
      <c r="D612" s="97"/>
      <c r="E612" s="97"/>
      <c r="F612" s="97"/>
      <c r="G612" s="98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</row>
    <row r="613">
      <c r="A613" s="97"/>
      <c r="B613" s="97"/>
      <c r="C613" s="97"/>
      <c r="D613" s="97"/>
      <c r="E613" s="97"/>
      <c r="F613" s="97"/>
      <c r="G613" s="98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</row>
    <row r="614">
      <c r="A614" s="97"/>
      <c r="B614" s="97"/>
      <c r="C614" s="97"/>
      <c r="D614" s="97"/>
      <c r="E614" s="97"/>
      <c r="F614" s="97"/>
      <c r="G614" s="98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</row>
    <row r="615">
      <c r="A615" s="97"/>
      <c r="B615" s="97"/>
      <c r="C615" s="97"/>
      <c r="D615" s="97"/>
      <c r="E615" s="97"/>
      <c r="F615" s="97"/>
      <c r="G615" s="98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</row>
    <row r="616">
      <c r="A616" s="97"/>
      <c r="B616" s="97"/>
      <c r="C616" s="97"/>
      <c r="D616" s="97"/>
      <c r="E616" s="97"/>
      <c r="F616" s="97"/>
      <c r="G616" s="98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</row>
    <row r="617">
      <c r="A617" s="97"/>
      <c r="B617" s="97"/>
      <c r="C617" s="97"/>
      <c r="D617" s="97"/>
      <c r="E617" s="97"/>
      <c r="F617" s="97"/>
      <c r="G617" s="98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</row>
    <row r="618">
      <c r="A618" s="97"/>
      <c r="B618" s="97"/>
      <c r="C618" s="97"/>
      <c r="D618" s="97"/>
      <c r="E618" s="97"/>
      <c r="F618" s="97"/>
      <c r="G618" s="98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</row>
    <row r="619">
      <c r="A619" s="97"/>
      <c r="B619" s="97"/>
      <c r="C619" s="97"/>
      <c r="D619" s="97"/>
      <c r="E619" s="97"/>
      <c r="F619" s="97"/>
      <c r="G619" s="98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</row>
    <row r="620">
      <c r="A620" s="97"/>
      <c r="B620" s="97"/>
      <c r="C620" s="97"/>
      <c r="D620" s="97"/>
      <c r="E620" s="97"/>
      <c r="F620" s="97"/>
      <c r="G620" s="98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</row>
    <row r="621">
      <c r="A621" s="97"/>
      <c r="B621" s="97"/>
      <c r="C621" s="97"/>
      <c r="D621" s="97"/>
      <c r="E621" s="97"/>
      <c r="F621" s="97"/>
      <c r="G621" s="98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</row>
    <row r="622">
      <c r="A622" s="97"/>
      <c r="B622" s="97"/>
      <c r="C622" s="97"/>
      <c r="D622" s="97"/>
      <c r="E622" s="97"/>
      <c r="F622" s="97"/>
      <c r="G622" s="98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</row>
    <row r="623">
      <c r="A623" s="97"/>
      <c r="B623" s="97"/>
      <c r="C623" s="97"/>
      <c r="D623" s="97"/>
      <c r="E623" s="97"/>
      <c r="F623" s="97"/>
      <c r="G623" s="98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</row>
    <row r="624">
      <c r="A624" s="97"/>
      <c r="B624" s="97"/>
      <c r="C624" s="97"/>
      <c r="D624" s="97"/>
      <c r="E624" s="97"/>
      <c r="F624" s="97"/>
      <c r="G624" s="98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</row>
    <row r="625">
      <c r="A625" s="97"/>
      <c r="B625" s="97"/>
      <c r="C625" s="97"/>
      <c r="D625" s="97"/>
      <c r="E625" s="97"/>
      <c r="F625" s="97"/>
      <c r="G625" s="98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</row>
    <row r="626">
      <c r="A626" s="97"/>
      <c r="B626" s="97"/>
      <c r="C626" s="97"/>
      <c r="D626" s="97"/>
      <c r="E626" s="97"/>
      <c r="F626" s="97"/>
      <c r="G626" s="98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</row>
    <row r="627">
      <c r="A627" s="97"/>
      <c r="B627" s="97"/>
      <c r="C627" s="97"/>
      <c r="D627" s="97"/>
      <c r="E627" s="97"/>
      <c r="F627" s="97"/>
      <c r="G627" s="98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</row>
    <row r="628">
      <c r="A628" s="97"/>
      <c r="B628" s="97"/>
      <c r="C628" s="97"/>
      <c r="D628" s="97"/>
      <c r="E628" s="97"/>
      <c r="F628" s="97"/>
      <c r="G628" s="98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</row>
    <row r="629">
      <c r="A629" s="97"/>
      <c r="B629" s="97"/>
      <c r="C629" s="97"/>
      <c r="D629" s="97"/>
      <c r="E629" s="97"/>
      <c r="F629" s="97"/>
      <c r="G629" s="98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</row>
    <row r="630">
      <c r="A630" s="97"/>
      <c r="B630" s="97"/>
      <c r="C630" s="97"/>
      <c r="D630" s="97"/>
      <c r="E630" s="97"/>
      <c r="F630" s="97"/>
      <c r="G630" s="98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</row>
    <row r="631">
      <c r="A631" s="97"/>
      <c r="B631" s="97"/>
      <c r="C631" s="97"/>
      <c r="D631" s="97"/>
      <c r="E631" s="97"/>
      <c r="F631" s="97"/>
      <c r="G631" s="98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</row>
    <row r="632">
      <c r="A632" s="97"/>
      <c r="B632" s="97"/>
      <c r="C632" s="97"/>
      <c r="D632" s="97"/>
      <c r="E632" s="97"/>
      <c r="F632" s="97"/>
      <c r="G632" s="98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</row>
    <row r="633">
      <c r="A633" s="97"/>
      <c r="B633" s="97"/>
      <c r="C633" s="97"/>
      <c r="D633" s="97"/>
      <c r="E633" s="97"/>
      <c r="F633" s="97"/>
      <c r="G633" s="98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</row>
    <row r="634">
      <c r="A634" s="97"/>
      <c r="B634" s="97"/>
      <c r="C634" s="97"/>
      <c r="D634" s="97"/>
      <c r="E634" s="97"/>
      <c r="F634" s="97"/>
      <c r="G634" s="98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</row>
    <row r="635">
      <c r="A635" s="97"/>
      <c r="B635" s="97"/>
      <c r="C635" s="97"/>
      <c r="D635" s="97"/>
      <c r="E635" s="97"/>
      <c r="F635" s="97"/>
      <c r="G635" s="98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</row>
    <row r="636">
      <c r="A636" s="97"/>
      <c r="B636" s="97"/>
      <c r="C636" s="97"/>
      <c r="D636" s="97"/>
      <c r="E636" s="97"/>
      <c r="F636" s="97"/>
      <c r="G636" s="98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</row>
    <row r="637">
      <c r="A637" s="97"/>
      <c r="B637" s="97"/>
      <c r="C637" s="97"/>
      <c r="D637" s="97"/>
      <c r="E637" s="97"/>
      <c r="F637" s="97"/>
      <c r="G637" s="98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</row>
    <row r="638">
      <c r="A638" s="97"/>
      <c r="B638" s="97"/>
      <c r="C638" s="97"/>
      <c r="D638" s="97"/>
      <c r="E638" s="97"/>
      <c r="F638" s="97"/>
      <c r="G638" s="98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</row>
    <row r="639">
      <c r="A639" s="97"/>
      <c r="B639" s="97"/>
      <c r="C639" s="97"/>
      <c r="D639" s="97"/>
      <c r="E639" s="97"/>
      <c r="F639" s="97"/>
      <c r="G639" s="98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</row>
    <row r="640">
      <c r="A640" s="97"/>
      <c r="B640" s="97"/>
      <c r="C640" s="97"/>
      <c r="D640" s="97"/>
      <c r="E640" s="97"/>
      <c r="F640" s="97"/>
      <c r="G640" s="98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</row>
    <row r="641">
      <c r="A641" s="97"/>
      <c r="B641" s="97"/>
      <c r="C641" s="97"/>
      <c r="D641" s="97"/>
      <c r="E641" s="97"/>
      <c r="F641" s="97"/>
      <c r="G641" s="98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</row>
    <row r="642">
      <c r="A642" s="97"/>
      <c r="B642" s="97"/>
      <c r="C642" s="97"/>
      <c r="D642" s="97"/>
      <c r="E642" s="97"/>
      <c r="F642" s="97"/>
      <c r="G642" s="98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</row>
    <row r="643">
      <c r="A643" s="97"/>
      <c r="B643" s="97"/>
      <c r="C643" s="97"/>
      <c r="D643" s="97"/>
      <c r="E643" s="97"/>
      <c r="F643" s="97"/>
      <c r="G643" s="98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</row>
    <row r="644">
      <c r="A644" s="97"/>
      <c r="B644" s="97"/>
      <c r="C644" s="97"/>
      <c r="D644" s="97"/>
      <c r="E644" s="97"/>
      <c r="F644" s="97"/>
      <c r="G644" s="98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</row>
    <row r="645">
      <c r="A645" s="97"/>
      <c r="B645" s="97"/>
      <c r="C645" s="97"/>
      <c r="D645" s="97"/>
      <c r="E645" s="97"/>
      <c r="F645" s="97"/>
      <c r="G645" s="98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</row>
    <row r="646">
      <c r="A646" s="97"/>
      <c r="B646" s="97"/>
      <c r="C646" s="97"/>
      <c r="D646" s="97"/>
      <c r="E646" s="97"/>
      <c r="F646" s="97"/>
      <c r="G646" s="98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</row>
    <row r="647">
      <c r="A647" s="97"/>
      <c r="B647" s="97"/>
      <c r="C647" s="97"/>
      <c r="D647" s="97"/>
      <c r="E647" s="97"/>
      <c r="F647" s="97"/>
      <c r="G647" s="98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</row>
    <row r="648">
      <c r="A648" s="97"/>
      <c r="B648" s="97"/>
      <c r="C648" s="97"/>
      <c r="D648" s="97"/>
      <c r="E648" s="97"/>
      <c r="F648" s="97"/>
      <c r="G648" s="98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</row>
    <row r="649">
      <c r="A649" s="97"/>
      <c r="B649" s="97"/>
      <c r="C649" s="97"/>
      <c r="D649" s="97"/>
      <c r="E649" s="97"/>
      <c r="F649" s="97"/>
      <c r="G649" s="98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</row>
    <row r="650">
      <c r="A650" s="97"/>
      <c r="B650" s="97"/>
      <c r="C650" s="97"/>
      <c r="D650" s="97"/>
      <c r="E650" s="97"/>
      <c r="F650" s="97"/>
      <c r="G650" s="98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</row>
    <row r="651">
      <c r="A651" s="97"/>
      <c r="B651" s="97"/>
      <c r="C651" s="97"/>
      <c r="D651" s="97"/>
      <c r="E651" s="97"/>
      <c r="F651" s="97"/>
      <c r="G651" s="98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</row>
    <row r="652">
      <c r="A652" s="97"/>
      <c r="B652" s="97"/>
      <c r="C652" s="97"/>
      <c r="D652" s="97"/>
      <c r="E652" s="97"/>
      <c r="F652" s="97"/>
      <c r="G652" s="98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</row>
    <row r="653">
      <c r="A653" s="97"/>
      <c r="B653" s="97"/>
      <c r="C653" s="97"/>
      <c r="D653" s="97"/>
      <c r="E653" s="97"/>
      <c r="F653" s="97"/>
      <c r="G653" s="98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</row>
    <row r="654">
      <c r="A654" s="97"/>
      <c r="B654" s="97"/>
      <c r="C654" s="97"/>
      <c r="D654" s="97"/>
      <c r="E654" s="97"/>
      <c r="F654" s="97"/>
      <c r="G654" s="98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</row>
    <row r="655">
      <c r="A655" s="97"/>
      <c r="B655" s="97"/>
      <c r="C655" s="97"/>
      <c r="D655" s="97"/>
      <c r="E655" s="97"/>
      <c r="F655" s="97"/>
      <c r="G655" s="98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</row>
    <row r="656">
      <c r="A656" s="97"/>
      <c r="B656" s="97"/>
      <c r="C656" s="97"/>
      <c r="D656" s="97"/>
      <c r="E656" s="97"/>
      <c r="F656" s="97"/>
      <c r="G656" s="98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</row>
    <row r="657">
      <c r="A657" s="97"/>
      <c r="B657" s="97"/>
      <c r="C657" s="97"/>
      <c r="D657" s="97"/>
      <c r="E657" s="97"/>
      <c r="F657" s="97"/>
      <c r="G657" s="98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</row>
    <row r="658">
      <c r="A658" s="97"/>
      <c r="B658" s="97"/>
      <c r="C658" s="97"/>
      <c r="D658" s="97"/>
      <c r="E658" s="97"/>
      <c r="F658" s="97"/>
      <c r="G658" s="98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</row>
    <row r="659">
      <c r="A659" s="97"/>
      <c r="B659" s="97"/>
      <c r="C659" s="97"/>
      <c r="D659" s="97"/>
      <c r="E659" s="97"/>
      <c r="F659" s="97"/>
      <c r="G659" s="98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</row>
    <row r="660">
      <c r="A660" s="97"/>
      <c r="B660" s="97"/>
      <c r="C660" s="97"/>
      <c r="D660" s="97"/>
      <c r="E660" s="97"/>
      <c r="F660" s="97"/>
      <c r="G660" s="98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</row>
    <row r="661">
      <c r="A661" s="97"/>
      <c r="B661" s="97"/>
      <c r="C661" s="97"/>
      <c r="D661" s="97"/>
      <c r="E661" s="97"/>
      <c r="F661" s="97"/>
      <c r="G661" s="98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</row>
    <row r="662">
      <c r="A662" s="97"/>
      <c r="B662" s="97"/>
      <c r="C662" s="97"/>
      <c r="D662" s="97"/>
      <c r="E662" s="97"/>
      <c r="F662" s="97"/>
      <c r="G662" s="98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</row>
    <row r="663">
      <c r="A663" s="97"/>
      <c r="B663" s="97"/>
      <c r="C663" s="97"/>
      <c r="D663" s="97"/>
      <c r="E663" s="97"/>
      <c r="F663" s="97"/>
      <c r="G663" s="98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</row>
    <row r="664">
      <c r="A664" s="97"/>
      <c r="B664" s="97"/>
      <c r="C664" s="97"/>
      <c r="D664" s="97"/>
      <c r="E664" s="97"/>
      <c r="F664" s="97"/>
      <c r="G664" s="98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</row>
    <row r="665">
      <c r="A665" s="97"/>
      <c r="B665" s="97"/>
      <c r="C665" s="97"/>
      <c r="D665" s="97"/>
      <c r="E665" s="97"/>
      <c r="F665" s="97"/>
      <c r="G665" s="98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</row>
    <row r="666">
      <c r="A666" s="97"/>
      <c r="B666" s="97"/>
      <c r="C666" s="97"/>
      <c r="D666" s="97"/>
      <c r="E666" s="97"/>
      <c r="F666" s="97"/>
      <c r="G666" s="98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</row>
    <row r="667">
      <c r="A667" s="97"/>
      <c r="B667" s="97"/>
      <c r="C667" s="97"/>
      <c r="D667" s="97"/>
      <c r="E667" s="97"/>
      <c r="F667" s="97"/>
      <c r="G667" s="98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</row>
    <row r="668">
      <c r="A668" s="97"/>
      <c r="B668" s="97"/>
      <c r="C668" s="97"/>
      <c r="D668" s="97"/>
      <c r="E668" s="97"/>
      <c r="F668" s="97"/>
      <c r="G668" s="98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</row>
    <row r="669">
      <c r="A669" s="97"/>
      <c r="B669" s="97"/>
      <c r="C669" s="97"/>
      <c r="D669" s="97"/>
      <c r="E669" s="97"/>
      <c r="F669" s="97"/>
      <c r="G669" s="98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</row>
    <row r="670">
      <c r="A670" s="97"/>
      <c r="B670" s="97"/>
      <c r="C670" s="97"/>
      <c r="D670" s="97"/>
      <c r="E670" s="97"/>
      <c r="F670" s="97"/>
      <c r="G670" s="98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</row>
    <row r="671">
      <c r="A671" s="97"/>
      <c r="B671" s="97"/>
      <c r="C671" s="97"/>
      <c r="D671" s="97"/>
      <c r="E671" s="97"/>
      <c r="F671" s="97"/>
      <c r="G671" s="98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</row>
    <row r="672">
      <c r="A672" s="97"/>
      <c r="B672" s="97"/>
      <c r="C672" s="97"/>
      <c r="D672" s="97"/>
      <c r="E672" s="97"/>
      <c r="F672" s="97"/>
      <c r="G672" s="98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</row>
    <row r="673">
      <c r="A673" s="97"/>
      <c r="B673" s="97"/>
      <c r="C673" s="97"/>
      <c r="D673" s="97"/>
      <c r="E673" s="97"/>
      <c r="F673" s="97"/>
      <c r="G673" s="98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</row>
    <row r="674">
      <c r="A674" s="97"/>
      <c r="B674" s="97"/>
      <c r="C674" s="97"/>
      <c r="D674" s="97"/>
      <c r="E674" s="97"/>
      <c r="F674" s="97"/>
      <c r="G674" s="98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</row>
    <row r="675">
      <c r="A675" s="97"/>
      <c r="B675" s="97"/>
      <c r="C675" s="97"/>
      <c r="D675" s="97"/>
      <c r="E675" s="97"/>
      <c r="F675" s="97"/>
      <c r="G675" s="98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</row>
    <row r="676">
      <c r="A676" s="97"/>
      <c r="B676" s="97"/>
      <c r="C676" s="97"/>
      <c r="D676" s="97"/>
      <c r="E676" s="97"/>
      <c r="F676" s="97"/>
      <c r="G676" s="98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</row>
    <row r="677">
      <c r="A677" s="97"/>
      <c r="B677" s="97"/>
      <c r="C677" s="97"/>
      <c r="D677" s="97"/>
      <c r="E677" s="97"/>
      <c r="F677" s="97"/>
      <c r="G677" s="98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</row>
    <row r="678">
      <c r="A678" s="97"/>
      <c r="B678" s="97"/>
      <c r="C678" s="97"/>
      <c r="D678" s="97"/>
      <c r="E678" s="97"/>
      <c r="F678" s="97"/>
      <c r="G678" s="98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</row>
    <row r="679">
      <c r="A679" s="97"/>
      <c r="B679" s="97"/>
      <c r="C679" s="97"/>
      <c r="D679" s="97"/>
      <c r="E679" s="97"/>
      <c r="F679" s="97"/>
      <c r="G679" s="98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</row>
    <row r="680">
      <c r="A680" s="97"/>
      <c r="B680" s="97"/>
      <c r="C680" s="97"/>
      <c r="D680" s="97"/>
      <c r="E680" s="97"/>
      <c r="F680" s="97"/>
      <c r="G680" s="98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</row>
    <row r="681">
      <c r="A681" s="97"/>
      <c r="B681" s="97"/>
      <c r="C681" s="97"/>
      <c r="D681" s="97"/>
      <c r="E681" s="97"/>
      <c r="F681" s="97"/>
      <c r="G681" s="98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</row>
    <row r="682">
      <c r="A682" s="97"/>
      <c r="B682" s="97"/>
      <c r="C682" s="97"/>
      <c r="D682" s="97"/>
      <c r="E682" s="97"/>
      <c r="F682" s="97"/>
      <c r="G682" s="98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</row>
    <row r="683">
      <c r="A683" s="97"/>
      <c r="B683" s="97"/>
      <c r="C683" s="97"/>
      <c r="D683" s="97"/>
      <c r="E683" s="97"/>
      <c r="F683" s="97"/>
      <c r="G683" s="98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</row>
    <row r="684">
      <c r="A684" s="97"/>
      <c r="B684" s="97"/>
      <c r="C684" s="97"/>
      <c r="D684" s="97"/>
      <c r="E684" s="97"/>
      <c r="F684" s="97"/>
      <c r="G684" s="98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</row>
    <row r="685">
      <c r="A685" s="97"/>
      <c r="B685" s="97"/>
      <c r="C685" s="97"/>
      <c r="D685" s="97"/>
      <c r="E685" s="97"/>
      <c r="F685" s="97"/>
      <c r="G685" s="98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</row>
    <row r="686">
      <c r="A686" s="97"/>
      <c r="B686" s="97"/>
      <c r="C686" s="97"/>
      <c r="D686" s="97"/>
      <c r="E686" s="97"/>
      <c r="F686" s="97"/>
      <c r="G686" s="98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</row>
    <row r="687">
      <c r="A687" s="97"/>
      <c r="B687" s="97"/>
      <c r="C687" s="97"/>
      <c r="D687" s="97"/>
      <c r="E687" s="97"/>
      <c r="F687" s="97"/>
      <c r="G687" s="98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</row>
    <row r="688">
      <c r="A688" s="97"/>
      <c r="B688" s="97"/>
      <c r="C688" s="97"/>
      <c r="D688" s="97"/>
      <c r="E688" s="97"/>
      <c r="F688" s="97"/>
      <c r="G688" s="98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</row>
    <row r="689">
      <c r="A689" s="97"/>
      <c r="B689" s="97"/>
      <c r="C689" s="97"/>
      <c r="D689" s="97"/>
      <c r="E689" s="97"/>
      <c r="F689" s="97"/>
      <c r="G689" s="98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</row>
    <row r="690">
      <c r="A690" s="97"/>
      <c r="B690" s="97"/>
      <c r="C690" s="97"/>
      <c r="D690" s="97"/>
      <c r="E690" s="97"/>
      <c r="F690" s="97"/>
      <c r="G690" s="98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</row>
    <row r="691">
      <c r="A691" s="97"/>
      <c r="B691" s="97"/>
      <c r="C691" s="97"/>
      <c r="D691" s="97"/>
      <c r="E691" s="97"/>
      <c r="F691" s="97"/>
      <c r="G691" s="98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</row>
    <row r="692">
      <c r="A692" s="97"/>
      <c r="B692" s="97"/>
      <c r="C692" s="97"/>
      <c r="D692" s="97"/>
      <c r="E692" s="97"/>
      <c r="F692" s="97"/>
      <c r="G692" s="98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</row>
    <row r="693">
      <c r="A693" s="97"/>
      <c r="B693" s="97"/>
      <c r="C693" s="97"/>
      <c r="D693" s="97"/>
      <c r="E693" s="97"/>
      <c r="F693" s="97"/>
      <c r="G693" s="98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</row>
    <row r="694">
      <c r="A694" s="97"/>
      <c r="B694" s="97"/>
      <c r="C694" s="97"/>
      <c r="D694" s="97"/>
      <c r="E694" s="97"/>
      <c r="F694" s="97"/>
      <c r="G694" s="98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</row>
    <row r="695">
      <c r="A695" s="97"/>
      <c r="B695" s="97"/>
      <c r="C695" s="97"/>
      <c r="D695" s="97"/>
      <c r="E695" s="97"/>
      <c r="F695" s="97"/>
      <c r="G695" s="98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</row>
    <row r="696">
      <c r="A696" s="97"/>
      <c r="B696" s="97"/>
      <c r="C696" s="97"/>
      <c r="D696" s="97"/>
      <c r="E696" s="97"/>
      <c r="F696" s="97"/>
      <c r="G696" s="98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</row>
    <row r="697">
      <c r="A697" s="97"/>
      <c r="B697" s="97"/>
      <c r="C697" s="97"/>
      <c r="D697" s="97"/>
      <c r="E697" s="97"/>
      <c r="F697" s="97"/>
      <c r="G697" s="98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</row>
    <row r="698">
      <c r="A698" s="97"/>
      <c r="B698" s="97"/>
      <c r="C698" s="97"/>
      <c r="D698" s="97"/>
      <c r="E698" s="97"/>
      <c r="F698" s="97"/>
      <c r="G698" s="98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</row>
    <row r="699">
      <c r="A699" s="97"/>
      <c r="B699" s="97"/>
      <c r="C699" s="97"/>
      <c r="D699" s="97"/>
      <c r="E699" s="97"/>
      <c r="F699" s="97"/>
      <c r="G699" s="98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</row>
    <row r="700">
      <c r="A700" s="97"/>
      <c r="B700" s="97"/>
      <c r="C700" s="97"/>
      <c r="D700" s="97"/>
      <c r="E700" s="97"/>
      <c r="F700" s="97"/>
      <c r="G700" s="98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</row>
    <row r="701">
      <c r="A701" s="97"/>
      <c r="B701" s="97"/>
      <c r="C701" s="97"/>
      <c r="D701" s="97"/>
      <c r="E701" s="97"/>
      <c r="F701" s="97"/>
      <c r="G701" s="98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</row>
    <row r="702">
      <c r="A702" s="97"/>
      <c r="B702" s="97"/>
      <c r="C702" s="97"/>
      <c r="D702" s="97"/>
      <c r="E702" s="97"/>
      <c r="F702" s="97"/>
      <c r="G702" s="98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</row>
    <row r="703">
      <c r="A703" s="97"/>
      <c r="B703" s="97"/>
      <c r="C703" s="97"/>
      <c r="D703" s="97"/>
      <c r="E703" s="97"/>
      <c r="F703" s="97"/>
      <c r="G703" s="98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</row>
    <row r="704">
      <c r="A704" s="97"/>
      <c r="B704" s="97"/>
      <c r="C704" s="97"/>
      <c r="D704" s="97"/>
      <c r="E704" s="97"/>
      <c r="F704" s="97"/>
      <c r="G704" s="98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</row>
    <row r="705">
      <c r="A705" s="97"/>
      <c r="B705" s="97"/>
      <c r="C705" s="97"/>
      <c r="D705" s="97"/>
      <c r="E705" s="97"/>
      <c r="F705" s="97"/>
      <c r="G705" s="98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</row>
    <row r="706">
      <c r="A706" s="97"/>
      <c r="B706" s="97"/>
      <c r="C706" s="97"/>
      <c r="D706" s="97"/>
      <c r="E706" s="97"/>
      <c r="F706" s="97"/>
      <c r="G706" s="98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</row>
    <row r="707">
      <c r="A707" s="97"/>
      <c r="B707" s="97"/>
      <c r="C707" s="97"/>
      <c r="D707" s="97"/>
      <c r="E707" s="97"/>
      <c r="F707" s="97"/>
      <c r="G707" s="98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</row>
    <row r="708">
      <c r="A708" s="97"/>
      <c r="B708" s="97"/>
      <c r="C708" s="97"/>
      <c r="D708" s="97"/>
      <c r="E708" s="97"/>
      <c r="F708" s="97"/>
      <c r="G708" s="98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</row>
    <row r="709">
      <c r="A709" s="97"/>
      <c r="B709" s="97"/>
      <c r="C709" s="97"/>
      <c r="D709" s="97"/>
      <c r="E709" s="97"/>
      <c r="F709" s="97"/>
      <c r="G709" s="98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</row>
    <row r="710">
      <c r="A710" s="97"/>
      <c r="B710" s="97"/>
      <c r="C710" s="97"/>
      <c r="D710" s="97"/>
      <c r="E710" s="97"/>
      <c r="F710" s="97"/>
      <c r="G710" s="98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</row>
    <row r="711">
      <c r="A711" s="97"/>
      <c r="B711" s="97"/>
      <c r="C711" s="97"/>
      <c r="D711" s="97"/>
      <c r="E711" s="97"/>
      <c r="F711" s="97"/>
      <c r="G711" s="98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</row>
    <row r="712">
      <c r="A712" s="97"/>
      <c r="B712" s="97"/>
      <c r="C712" s="97"/>
      <c r="D712" s="97"/>
      <c r="E712" s="97"/>
      <c r="F712" s="97"/>
      <c r="G712" s="98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</row>
    <row r="713">
      <c r="A713" s="97"/>
      <c r="B713" s="97"/>
      <c r="C713" s="97"/>
      <c r="D713" s="97"/>
      <c r="E713" s="97"/>
      <c r="F713" s="97"/>
      <c r="G713" s="98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</row>
    <row r="714">
      <c r="A714" s="97"/>
      <c r="B714" s="97"/>
      <c r="C714" s="97"/>
      <c r="D714" s="97"/>
      <c r="E714" s="97"/>
      <c r="F714" s="97"/>
      <c r="G714" s="98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</row>
    <row r="715">
      <c r="A715" s="97"/>
      <c r="B715" s="97"/>
      <c r="C715" s="97"/>
      <c r="D715" s="97"/>
      <c r="E715" s="97"/>
      <c r="F715" s="97"/>
      <c r="G715" s="98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</row>
    <row r="716">
      <c r="A716" s="97"/>
      <c r="B716" s="97"/>
      <c r="C716" s="97"/>
      <c r="D716" s="97"/>
      <c r="E716" s="97"/>
      <c r="F716" s="97"/>
      <c r="G716" s="98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</row>
    <row r="717">
      <c r="A717" s="97"/>
      <c r="B717" s="97"/>
      <c r="C717" s="97"/>
      <c r="D717" s="97"/>
      <c r="E717" s="97"/>
      <c r="F717" s="97"/>
      <c r="G717" s="98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</row>
    <row r="718">
      <c r="A718" s="97"/>
      <c r="B718" s="97"/>
      <c r="C718" s="97"/>
      <c r="D718" s="97"/>
      <c r="E718" s="97"/>
      <c r="F718" s="97"/>
      <c r="G718" s="98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</row>
    <row r="719">
      <c r="A719" s="97"/>
      <c r="B719" s="97"/>
      <c r="C719" s="97"/>
      <c r="D719" s="97"/>
      <c r="E719" s="97"/>
      <c r="F719" s="97"/>
      <c r="G719" s="98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</row>
    <row r="720">
      <c r="A720" s="97"/>
      <c r="B720" s="97"/>
      <c r="C720" s="97"/>
      <c r="D720" s="97"/>
      <c r="E720" s="97"/>
      <c r="F720" s="97"/>
      <c r="G720" s="98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</row>
    <row r="721">
      <c r="A721" s="97"/>
      <c r="B721" s="97"/>
      <c r="C721" s="97"/>
      <c r="D721" s="97"/>
      <c r="E721" s="97"/>
      <c r="F721" s="97"/>
      <c r="G721" s="98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</row>
    <row r="722">
      <c r="A722" s="97"/>
      <c r="B722" s="97"/>
      <c r="C722" s="97"/>
      <c r="D722" s="97"/>
      <c r="E722" s="97"/>
      <c r="F722" s="97"/>
      <c r="G722" s="98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</row>
    <row r="723">
      <c r="A723" s="97"/>
      <c r="B723" s="97"/>
      <c r="C723" s="97"/>
      <c r="D723" s="97"/>
      <c r="E723" s="97"/>
      <c r="F723" s="97"/>
      <c r="G723" s="98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</row>
    <row r="724">
      <c r="A724" s="97"/>
      <c r="B724" s="97"/>
      <c r="C724" s="97"/>
      <c r="D724" s="97"/>
      <c r="E724" s="97"/>
      <c r="F724" s="97"/>
      <c r="G724" s="98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</row>
    <row r="725">
      <c r="A725" s="97"/>
      <c r="B725" s="97"/>
      <c r="C725" s="97"/>
      <c r="D725" s="97"/>
      <c r="E725" s="97"/>
      <c r="F725" s="97"/>
      <c r="G725" s="98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</row>
    <row r="726">
      <c r="A726" s="97"/>
      <c r="B726" s="97"/>
      <c r="C726" s="97"/>
      <c r="D726" s="97"/>
      <c r="E726" s="97"/>
      <c r="F726" s="97"/>
      <c r="G726" s="98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</row>
    <row r="727">
      <c r="A727" s="97"/>
      <c r="B727" s="97"/>
      <c r="C727" s="97"/>
      <c r="D727" s="97"/>
      <c r="E727" s="97"/>
      <c r="F727" s="97"/>
      <c r="G727" s="98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</row>
    <row r="728">
      <c r="A728" s="97"/>
      <c r="B728" s="97"/>
      <c r="C728" s="97"/>
      <c r="D728" s="97"/>
      <c r="E728" s="97"/>
      <c r="F728" s="97"/>
      <c r="G728" s="98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</row>
    <row r="729">
      <c r="A729" s="97"/>
      <c r="B729" s="97"/>
      <c r="C729" s="97"/>
      <c r="D729" s="97"/>
      <c r="E729" s="97"/>
      <c r="F729" s="97"/>
      <c r="G729" s="98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</row>
    <row r="730">
      <c r="A730" s="97"/>
      <c r="B730" s="97"/>
      <c r="C730" s="97"/>
      <c r="D730" s="97"/>
      <c r="E730" s="97"/>
      <c r="F730" s="97"/>
      <c r="G730" s="98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</row>
    <row r="731">
      <c r="A731" s="97"/>
      <c r="B731" s="97"/>
      <c r="C731" s="97"/>
      <c r="D731" s="97"/>
      <c r="E731" s="97"/>
      <c r="F731" s="97"/>
      <c r="G731" s="98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</row>
    <row r="732">
      <c r="A732" s="97"/>
      <c r="B732" s="97"/>
      <c r="C732" s="97"/>
      <c r="D732" s="97"/>
      <c r="E732" s="97"/>
      <c r="F732" s="97"/>
      <c r="G732" s="98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</row>
    <row r="733">
      <c r="A733" s="97"/>
      <c r="B733" s="97"/>
      <c r="C733" s="97"/>
      <c r="D733" s="97"/>
      <c r="E733" s="97"/>
      <c r="F733" s="97"/>
      <c r="G733" s="98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</row>
    <row r="734">
      <c r="A734" s="97"/>
      <c r="B734" s="97"/>
      <c r="C734" s="97"/>
      <c r="D734" s="97"/>
      <c r="E734" s="97"/>
      <c r="F734" s="97"/>
      <c r="G734" s="98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</row>
    <row r="735">
      <c r="A735" s="97"/>
      <c r="B735" s="97"/>
      <c r="C735" s="97"/>
      <c r="D735" s="97"/>
      <c r="E735" s="97"/>
      <c r="F735" s="97"/>
      <c r="G735" s="98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</row>
    <row r="736">
      <c r="A736" s="97"/>
      <c r="B736" s="97"/>
      <c r="C736" s="97"/>
      <c r="D736" s="97"/>
      <c r="E736" s="97"/>
      <c r="F736" s="97"/>
      <c r="G736" s="98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</row>
    <row r="737">
      <c r="A737" s="97"/>
      <c r="B737" s="97"/>
      <c r="C737" s="97"/>
      <c r="D737" s="97"/>
      <c r="E737" s="97"/>
      <c r="F737" s="97"/>
      <c r="G737" s="98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</row>
    <row r="738">
      <c r="A738" s="97"/>
      <c r="B738" s="97"/>
      <c r="C738" s="97"/>
      <c r="D738" s="97"/>
      <c r="E738" s="97"/>
      <c r="F738" s="97"/>
      <c r="G738" s="98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</row>
    <row r="739">
      <c r="A739" s="97"/>
      <c r="B739" s="97"/>
      <c r="C739" s="97"/>
      <c r="D739" s="97"/>
      <c r="E739" s="97"/>
      <c r="F739" s="97"/>
      <c r="G739" s="98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</row>
    <row r="740">
      <c r="A740" s="97"/>
      <c r="B740" s="97"/>
      <c r="C740" s="97"/>
      <c r="D740" s="97"/>
      <c r="E740" s="97"/>
      <c r="F740" s="97"/>
      <c r="G740" s="98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</row>
    <row r="741">
      <c r="A741" s="97"/>
      <c r="B741" s="97"/>
      <c r="C741" s="97"/>
      <c r="D741" s="97"/>
      <c r="E741" s="97"/>
      <c r="F741" s="97"/>
      <c r="G741" s="98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</row>
    <row r="742">
      <c r="A742" s="97"/>
      <c r="B742" s="97"/>
      <c r="C742" s="97"/>
      <c r="D742" s="97"/>
      <c r="E742" s="97"/>
      <c r="F742" s="97"/>
      <c r="G742" s="98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</row>
    <row r="743">
      <c r="A743" s="97"/>
      <c r="B743" s="97"/>
      <c r="C743" s="97"/>
      <c r="D743" s="97"/>
      <c r="E743" s="97"/>
      <c r="F743" s="97"/>
      <c r="G743" s="98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</row>
    <row r="744">
      <c r="A744" s="97"/>
      <c r="B744" s="97"/>
      <c r="C744" s="97"/>
      <c r="D744" s="97"/>
      <c r="E744" s="97"/>
      <c r="F744" s="97"/>
      <c r="G744" s="98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</row>
    <row r="745">
      <c r="A745" s="97"/>
      <c r="B745" s="97"/>
      <c r="C745" s="97"/>
      <c r="D745" s="97"/>
      <c r="E745" s="97"/>
      <c r="F745" s="97"/>
      <c r="G745" s="98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</row>
    <row r="746">
      <c r="A746" s="97"/>
      <c r="B746" s="97"/>
      <c r="C746" s="97"/>
      <c r="D746" s="97"/>
      <c r="E746" s="97"/>
      <c r="F746" s="97"/>
      <c r="G746" s="98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</row>
    <row r="747">
      <c r="A747" s="97"/>
      <c r="B747" s="97"/>
      <c r="C747" s="97"/>
      <c r="D747" s="97"/>
      <c r="E747" s="97"/>
      <c r="F747" s="97"/>
      <c r="G747" s="98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</row>
    <row r="748">
      <c r="A748" s="97"/>
      <c r="B748" s="97"/>
      <c r="C748" s="97"/>
      <c r="D748" s="97"/>
      <c r="E748" s="97"/>
      <c r="F748" s="97"/>
      <c r="G748" s="98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</row>
    <row r="749">
      <c r="A749" s="97"/>
      <c r="B749" s="97"/>
      <c r="C749" s="97"/>
      <c r="D749" s="97"/>
      <c r="E749" s="97"/>
      <c r="F749" s="97"/>
      <c r="G749" s="98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</row>
    <row r="750">
      <c r="A750" s="97"/>
      <c r="B750" s="97"/>
      <c r="C750" s="97"/>
      <c r="D750" s="97"/>
      <c r="E750" s="97"/>
      <c r="F750" s="97"/>
      <c r="G750" s="98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</row>
    <row r="751">
      <c r="A751" s="97"/>
      <c r="B751" s="97"/>
      <c r="C751" s="97"/>
      <c r="D751" s="97"/>
      <c r="E751" s="97"/>
      <c r="F751" s="97"/>
      <c r="G751" s="98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</row>
    <row r="752">
      <c r="A752" s="97"/>
      <c r="B752" s="97"/>
      <c r="C752" s="97"/>
      <c r="D752" s="97"/>
      <c r="E752" s="97"/>
      <c r="F752" s="97"/>
      <c r="G752" s="98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</row>
    <row r="753">
      <c r="A753" s="97"/>
      <c r="B753" s="97"/>
      <c r="C753" s="97"/>
      <c r="D753" s="97"/>
      <c r="E753" s="97"/>
      <c r="F753" s="97"/>
      <c r="G753" s="98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</row>
    <row r="754">
      <c r="A754" s="97"/>
      <c r="B754" s="97"/>
      <c r="C754" s="97"/>
      <c r="D754" s="97"/>
      <c r="E754" s="97"/>
      <c r="F754" s="97"/>
      <c r="G754" s="98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</row>
    <row r="755">
      <c r="A755" s="97"/>
      <c r="B755" s="97"/>
      <c r="C755" s="97"/>
      <c r="D755" s="97"/>
      <c r="E755" s="97"/>
      <c r="F755" s="97"/>
      <c r="G755" s="98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</row>
    <row r="756">
      <c r="A756" s="97"/>
      <c r="B756" s="97"/>
      <c r="C756" s="97"/>
      <c r="D756" s="97"/>
      <c r="E756" s="97"/>
      <c r="F756" s="97"/>
      <c r="G756" s="98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</row>
    <row r="757">
      <c r="A757" s="97"/>
      <c r="B757" s="97"/>
      <c r="C757" s="97"/>
      <c r="D757" s="97"/>
      <c r="E757" s="97"/>
      <c r="F757" s="97"/>
      <c r="G757" s="98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</row>
    <row r="758">
      <c r="A758" s="97"/>
      <c r="B758" s="97"/>
      <c r="C758" s="97"/>
      <c r="D758" s="97"/>
      <c r="E758" s="97"/>
      <c r="F758" s="97"/>
      <c r="G758" s="98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</row>
    <row r="759">
      <c r="A759" s="97"/>
      <c r="B759" s="97"/>
      <c r="C759" s="97"/>
      <c r="D759" s="97"/>
      <c r="E759" s="97"/>
      <c r="F759" s="97"/>
      <c r="G759" s="98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</row>
    <row r="760">
      <c r="A760" s="97"/>
      <c r="B760" s="97"/>
      <c r="C760" s="97"/>
      <c r="D760" s="97"/>
      <c r="E760" s="97"/>
      <c r="F760" s="97"/>
      <c r="G760" s="98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</row>
    <row r="761">
      <c r="A761" s="97"/>
      <c r="B761" s="97"/>
      <c r="C761" s="97"/>
      <c r="D761" s="97"/>
      <c r="E761" s="97"/>
      <c r="F761" s="97"/>
      <c r="G761" s="98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</row>
    <row r="762">
      <c r="A762" s="97"/>
      <c r="B762" s="97"/>
      <c r="C762" s="97"/>
      <c r="D762" s="97"/>
      <c r="E762" s="97"/>
      <c r="F762" s="97"/>
      <c r="G762" s="98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</row>
    <row r="763">
      <c r="A763" s="97"/>
      <c r="B763" s="97"/>
      <c r="C763" s="97"/>
      <c r="D763" s="97"/>
      <c r="E763" s="97"/>
      <c r="F763" s="97"/>
      <c r="G763" s="98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</row>
    <row r="764">
      <c r="A764" s="97"/>
      <c r="B764" s="97"/>
      <c r="C764" s="97"/>
      <c r="D764" s="97"/>
      <c r="E764" s="97"/>
      <c r="F764" s="97"/>
      <c r="G764" s="98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</row>
    <row r="765">
      <c r="A765" s="97"/>
      <c r="B765" s="97"/>
      <c r="C765" s="97"/>
      <c r="D765" s="97"/>
      <c r="E765" s="97"/>
      <c r="F765" s="97"/>
      <c r="G765" s="98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</row>
    <row r="766">
      <c r="A766" s="97"/>
      <c r="B766" s="97"/>
      <c r="C766" s="97"/>
      <c r="D766" s="97"/>
      <c r="E766" s="97"/>
      <c r="F766" s="97"/>
      <c r="G766" s="98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</row>
    <row r="767">
      <c r="A767" s="97"/>
      <c r="B767" s="97"/>
      <c r="C767" s="97"/>
      <c r="D767" s="97"/>
      <c r="E767" s="97"/>
      <c r="F767" s="97"/>
      <c r="G767" s="98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</row>
    <row r="768">
      <c r="A768" s="97"/>
      <c r="B768" s="97"/>
      <c r="C768" s="97"/>
      <c r="D768" s="97"/>
      <c r="E768" s="97"/>
      <c r="F768" s="97"/>
      <c r="G768" s="98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</row>
    <row r="769">
      <c r="A769" s="97"/>
      <c r="B769" s="97"/>
      <c r="C769" s="97"/>
      <c r="D769" s="97"/>
      <c r="E769" s="97"/>
      <c r="F769" s="97"/>
      <c r="G769" s="98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</row>
    <row r="770">
      <c r="A770" s="97"/>
      <c r="B770" s="97"/>
      <c r="C770" s="97"/>
      <c r="D770" s="97"/>
      <c r="E770" s="97"/>
      <c r="F770" s="97"/>
      <c r="G770" s="98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</row>
    <row r="771">
      <c r="A771" s="97"/>
      <c r="B771" s="97"/>
      <c r="C771" s="97"/>
      <c r="D771" s="97"/>
      <c r="E771" s="97"/>
      <c r="F771" s="97"/>
      <c r="G771" s="98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</row>
    <row r="772">
      <c r="A772" s="97"/>
      <c r="B772" s="97"/>
      <c r="C772" s="97"/>
      <c r="D772" s="97"/>
      <c r="E772" s="97"/>
      <c r="F772" s="97"/>
      <c r="G772" s="98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</row>
    <row r="773">
      <c r="A773" s="97"/>
      <c r="B773" s="97"/>
      <c r="C773" s="97"/>
      <c r="D773" s="97"/>
      <c r="E773" s="97"/>
      <c r="F773" s="97"/>
      <c r="G773" s="98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</row>
    <row r="774">
      <c r="A774" s="97"/>
      <c r="B774" s="97"/>
      <c r="C774" s="97"/>
      <c r="D774" s="97"/>
      <c r="E774" s="97"/>
      <c r="F774" s="97"/>
      <c r="G774" s="98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</row>
    <row r="775">
      <c r="A775" s="97"/>
      <c r="B775" s="97"/>
      <c r="C775" s="97"/>
      <c r="D775" s="97"/>
      <c r="E775" s="97"/>
      <c r="F775" s="97"/>
      <c r="G775" s="98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</row>
    <row r="776">
      <c r="A776" s="97"/>
      <c r="B776" s="97"/>
      <c r="C776" s="97"/>
      <c r="D776" s="97"/>
      <c r="E776" s="97"/>
      <c r="F776" s="97"/>
      <c r="G776" s="98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</row>
    <row r="777">
      <c r="A777" s="97"/>
      <c r="B777" s="97"/>
      <c r="C777" s="97"/>
      <c r="D777" s="97"/>
      <c r="E777" s="97"/>
      <c r="F777" s="97"/>
      <c r="G777" s="98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</row>
    <row r="778">
      <c r="A778" s="97"/>
      <c r="B778" s="97"/>
      <c r="C778" s="97"/>
      <c r="D778" s="97"/>
      <c r="E778" s="97"/>
      <c r="F778" s="97"/>
      <c r="G778" s="98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</row>
    <row r="779">
      <c r="A779" s="97"/>
      <c r="B779" s="97"/>
      <c r="C779" s="97"/>
      <c r="D779" s="97"/>
      <c r="E779" s="97"/>
      <c r="F779" s="97"/>
      <c r="G779" s="98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</row>
    <row r="780">
      <c r="A780" s="97"/>
      <c r="B780" s="97"/>
      <c r="C780" s="97"/>
      <c r="D780" s="97"/>
      <c r="E780" s="97"/>
      <c r="F780" s="97"/>
      <c r="G780" s="98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</row>
    <row r="781">
      <c r="A781" s="97"/>
      <c r="B781" s="97"/>
      <c r="C781" s="97"/>
      <c r="D781" s="97"/>
      <c r="E781" s="97"/>
      <c r="F781" s="97"/>
      <c r="G781" s="98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</row>
    <row r="782">
      <c r="A782" s="97"/>
      <c r="B782" s="97"/>
      <c r="C782" s="97"/>
      <c r="D782" s="97"/>
      <c r="E782" s="97"/>
      <c r="F782" s="97"/>
      <c r="G782" s="98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</row>
    <row r="783">
      <c r="A783" s="97"/>
      <c r="B783" s="97"/>
      <c r="C783" s="97"/>
      <c r="D783" s="97"/>
      <c r="E783" s="97"/>
      <c r="F783" s="97"/>
      <c r="G783" s="98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</row>
    <row r="784">
      <c r="A784" s="97"/>
      <c r="B784" s="97"/>
      <c r="C784" s="97"/>
      <c r="D784" s="97"/>
      <c r="E784" s="97"/>
      <c r="F784" s="97"/>
      <c r="G784" s="98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</row>
    <row r="785">
      <c r="A785" s="97"/>
      <c r="B785" s="97"/>
      <c r="C785" s="97"/>
      <c r="D785" s="97"/>
      <c r="E785" s="97"/>
      <c r="F785" s="97"/>
      <c r="G785" s="98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</row>
    <row r="786">
      <c r="A786" s="97"/>
      <c r="B786" s="97"/>
      <c r="C786" s="97"/>
      <c r="D786" s="97"/>
      <c r="E786" s="97"/>
      <c r="F786" s="97"/>
      <c r="G786" s="98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</row>
    <row r="787">
      <c r="A787" s="97"/>
      <c r="B787" s="97"/>
      <c r="C787" s="97"/>
      <c r="D787" s="97"/>
      <c r="E787" s="97"/>
      <c r="F787" s="97"/>
      <c r="G787" s="98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</row>
    <row r="788">
      <c r="A788" s="97"/>
      <c r="B788" s="97"/>
      <c r="C788" s="97"/>
      <c r="D788" s="97"/>
      <c r="E788" s="97"/>
      <c r="F788" s="97"/>
      <c r="G788" s="98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</row>
    <row r="789">
      <c r="A789" s="97"/>
      <c r="B789" s="97"/>
      <c r="C789" s="97"/>
      <c r="D789" s="97"/>
      <c r="E789" s="97"/>
      <c r="F789" s="97"/>
      <c r="G789" s="98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</row>
    <row r="790">
      <c r="A790" s="97"/>
      <c r="B790" s="97"/>
      <c r="C790" s="97"/>
      <c r="D790" s="97"/>
      <c r="E790" s="97"/>
      <c r="F790" s="97"/>
      <c r="G790" s="98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</row>
    <row r="791">
      <c r="A791" s="97"/>
      <c r="B791" s="97"/>
      <c r="C791" s="97"/>
      <c r="D791" s="97"/>
      <c r="E791" s="97"/>
      <c r="F791" s="97"/>
      <c r="G791" s="98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</row>
    <row r="792">
      <c r="A792" s="97"/>
      <c r="B792" s="97"/>
      <c r="C792" s="97"/>
      <c r="D792" s="97"/>
      <c r="E792" s="97"/>
      <c r="F792" s="97"/>
      <c r="G792" s="98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</row>
    <row r="793">
      <c r="A793" s="97"/>
      <c r="B793" s="97"/>
      <c r="C793" s="97"/>
      <c r="D793" s="97"/>
      <c r="E793" s="97"/>
      <c r="F793" s="97"/>
      <c r="G793" s="98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</row>
    <row r="794">
      <c r="A794" s="97"/>
      <c r="B794" s="97"/>
      <c r="C794" s="97"/>
      <c r="D794" s="97"/>
      <c r="E794" s="97"/>
      <c r="F794" s="97"/>
      <c r="G794" s="98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</row>
    <row r="795">
      <c r="A795" s="97"/>
      <c r="B795" s="97"/>
      <c r="C795" s="97"/>
      <c r="D795" s="97"/>
      <c r="E795" s="97"/>
      <c r="F795" s="97"/>
      <c r="G795" s="98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</row>
    <row r="796">
      <c r="A796" s="97"/>
      <c r="B796" s="97"/>
      <c r="C796" s="97"/>
      <c r="D796" s="97"/>
      <c r="E796" s="97"/>
      <c r="F796" s="97"/>
      <c r="G796" s="98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</row>
    <row r="797">
      <c r="A797" s="97"/>
      <c r="B797" s="97"/>
      <c r="C797" s="97"/>
      <c r="D797" s="97"/>
      <c r="E797" s="97"/>
      <c r="F797" s="97"/>
      <c r="G797" s="98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</row>
    <row r="798">
      <c r="A798" s="97"/>
      <c r="B798" s="97"/>
      <c r="C798" s="97"/>
      <c r="D798" s="97"/>
      <c r="E798" s="97"/>
      <c r="F798" s="97"/>
      <c r="G798" s="98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</row>
    <row r="799">
      <c r="A799" s="97"/>
      <c r="B799" s="97"/>
      <c r="C799" s="97"/>
      <c r="D799" s="97"/>
      <c r="E799" s="97"/>
      <c r="F799" s="97"/>
      <c r="G799" s="98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</row>
    <row r="800">
      <c r="A800" s="97"/>
      <c r="B800" s="97"/>
      <c r="C800" s="97"/>
      <c r="D800" s="97"/>
      <c r="E800" s="97"/>
      <c r="F800" s="97"/>
      <c r="G800" s="98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</row>
    <row r="801">
      <c r="A801" s="97"/>
      <c r="B801" s="97"/>
      <c r="C801" s="97"/>
      <c r="D801" s="97"/>
      <c r="E801" s="97"/>
      <c r="F801" s="97"/>
      <c r="G801" s="98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</row>
    <row r="802">
      <c r="A802" s="97"/>
      <c r="B802" s="97"/>
      <c r="C802" s="97"/>
      <c r="D802" s="97"/>
      <c r="E802" s="97"/>
      <c r="F802" s="97"/>
      <c r="G802" s="98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</row>
    <row r="803">
      <c r="A803" s="97"/>
      <c r="B803" s="97"/>
      <c r="C803" s="97"/>
      <c r="D803" s="97"/>
      <c r="E803" s="97"/>
      <c r="F803" s="97"/>
      <c r="G803" s="98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</row>
    <row r="804">
      <c r="A804" s="97"/>
      <c r="B804" s="97"/>
      <c r="C804" s="97"/>
      <c r="D804" s="97"/>
      <c r="E804" s="97"/>
      <c r="F804" s="97"/>
      <c r="G804" s="98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</row>
    <row r="805">
      <c r="A805" s="97"/>
      <c r="B805" s="97"/>
      <c r="C805" s="97"/>
      <c r="D805" s="97"/>
      <c r="E805" s="97"/>
      <c r="F805" s="97"/>
      <c r="G805" s="98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</row>
    <row r="806">
      <c r="A806" s="97"/>
      <c r="B806" s="97"/>
      <c r="C806" s="97"/>
      <c r="D806" s="97"/>
      <c r="E806" s="97"/>
      <c r="F806" s="97"/>
      <c r="G806" s="98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</row>
    <row r="807">
      <c r="A807" s="97"/>
      <c r="B807" s="97"/>
      <c r="C807" s="97"/>
      <c r="D807" s="97"/>
      <c r="E807" s="97"/>
      <c r="F807" s="97"/>
      <c r="G807" s="98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</row>
    <row r="808">
      <c r="A808" s="97"/>
      <c r="B808" s="97"/>
      <c r="C808" s="97"/>
      <c r="D808" s="97"/>
      <c r="E808" s="97"/>
      <c r="F808" s="97"/>
      <c r="G808" s="98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</row>
    <row r="809">
      <c r="A809" s="97"/>
      <c r="B809" s="97"/>
      <c r="C809" s="97"/>
      <c r="D809" s="97"/>
      <c r="E809" s="97"/>
      <c r="F809" s="97"/>
      <c r="G809" s="98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</row>
    <row r="810">
      <c r="A810" s="97"/>
      <c r="B810" s="97"/>
      <c r="C810" s="97"/>
      <c r="D810" s="97"/>
      <c r="E810" s="97"/>
      <c r="F810" s="97"/>
      <c r="G810" s="98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</row>
    <row r="811">
      <c r="A811" s="97"/>
      <c r="B811" s="97"/>
      <c r="C811" s="97"/>
      <c r="D811" s="97"/>
      <c r="E811" s="97"/>
      <c r="F811" s="97"/>
      <c r="G811" s="98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</row>
    <row r="812">
      <c r="A812" s="97"/>
      <c r="B812" s="97"/>
      <c r="C812" s="97"/>
      <c r="D812" s="97"/>
      <c r="E812" s="97"/>
      <c r="F812" s="97"/>
      <c r="G812" s="98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</row>
    <row r="813">
      <c r="A813" s="97"/>
      <c r="B813" s="97"/>
      <c r="C813" s="97"/>
      <c r="D813" s="97"/>
      <c r="E813" s="97"/>
      <c r="F813" s="97"/>
      <c r="G813" s="98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</row>
    <row r="814">
      <c r="A814" s="97"/>
      <c r="B814" s="97"/>
      <c r="C814" s="97"/>
      <c r="D814" s="97"/>
      <c r="E814" s="97"/>
      <c r="F814" s="97"/>
      <c r="G814" s="98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</row>
    <row r="815">
      <c r="A815" s="97"/>
      <c r="B815" s="97"/>
      <c r="C815" s="97"/>
      <c r="D815" s="97"/>
      <c r="E815" s="97"/>
      <c r="F815" s="97"/>
      <c r="G815" s="98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</row>
    <row r="816">
      <c r="A816" s="97"/>
      <c r="B816" s="97"/>
      <c r="C816" s="97"/>
      <c r="D816" s="97"/>
      <c r="E816" s="97"/>
      <c r="F816" s="97"/>
      <c r="G816" s="98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</row>
    <row r="817">
      <c r="A817" s="97"/>
      <c r="B817" s="97"/>
      <c r="C817" s="97"/>
      <c r="D817" s="97"/>
      <c r="E817" s="97"/>
      <c r="F817" s="97"/>
      <c r="G817" s="98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</row>
    <row r="818">
      <c r="A818" s="97"/>
      <c r="B818" s="97"/>
      <c r="C818" s="97"/>
      <c r="D818" s="97"/>
      <c r="E818" s="97"/>
      <c r="F818" s="97"/>
      <c r="G818" s="98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</row>
    <row r="819">
      <c r="A819" s="97"/>
      <c r="B819" s="97"/>
      <c r="C819" s="97"/>
      <c r="D819" s="97"/>
      <c r="E819" s="97"/>
      <c r="F819" s="97"/>
      <c r="G819" s="98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</row>
    <row r="820">
      <c r="A820" s="97"/>
      <c r="B820" s="97"/>
      <c r="C820" s="97"/>
      <c r="D820" s="97"/>
      <c r="E820" s="97"/>
      <c r="F820" s="97"/>
      <c r="G820" s="98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</row>
    <row r="821">
      <c r="A821" s="97"/>
      <c r="B821" s="97"/>
      <c r="C821" s="97"/>
      <c r="D821" s="97"/>
      <c r="E821" s="97"/>
      <c r="F821" s="97"/>
      <c r="G821" s="98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</row>
    <row r="822">
      <c r="A822" s="97"/>
      <c r="B822" s="97"/>
      <c r="C822" s="97"/>
      <c r="D822" s="97"/>
      <c r="E822" s="97"/>
      <c r="F822" s="97"/>
      <c r="G822" s="98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</row>
    <row r="823">
      <c r="A823" s="97"/>
      <c r="B823" s="97"/>
      <c r="C823" s="97"/>
      <c r="D823" s="97"/>
      <c r="E823" s="97"/>
      <c r="F823" s="97"/>
      <c r="G823" s="98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</row>
    <row r="824">
      <c r="A824" s="97"/>
      <c r="B824" s="97"/>
      <c r="C824" s="97"/>
      <c r="D824" s="97"/>
      <c r="E824" s="97"/>
      <c r="F824" s="97"/>
      <c r="G824" s="98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</row>
    <row r="825">
      <c r="A825" s="97"/>
      <c r="B825" s="97"/>
      <c r="C825" s="97"/>
      <c r="D825" s="97"/>
      <c r="E825" s="97"/>
      <c r="F825" s="97"/>
      <c r="G825" s="98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</row>
    <row r="826">
      <c r="A826" s="97"/>
      <c r="B826" s="97"/>
      <c r="C826" s="97"/>
      <c r="D826" s="97"/>
      <c r="E826" s="97"/>
      <c r="F826" s="97"/>
      <c r="G826" s="98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</row>
    <row r="827">
      <c r="A827" s="97"/>
      <c r="B827" s="97"/>
      <c r="C827" s="97"/>
      <c r="D827" s="97"/>
      <c r="E827" s="97"/>
      <c r="F827" s="97"/>
      <c r="G827" s="98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</row>
    <row r="828">
      <c r="A828" s="97"/>
      <c r="B828" s="97"/>
      <c r="C828" s="97"/>
      <c r="D828" s="97"/>
      <c r="E828" s="97"/>
      <c r="F828" s="97"/>
      <c r="G828" s="98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</row>
    <row r="829">
      <c r="A829" s="97"/>
      <c r="B829" s="97"/>
      <c r="C829" s="97"/>
      <c r="D829" s="97"/>
      <c r="E829" s="97"/>
      <c r="F829" s="97"/>
      <c r="G829" s="98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</row>
    <row r="830">
      <c r="A830" s="97"/>
      <c r="B830" s="97"/>
      <c r="C830" s="97"/>
      <c r="D830" s="97"/>
      <c r="E830" s="97"/>
      <c r="F830" s="97"/>
      <c r="G830" s="98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</row>
    <row r="831">
      <c r="A831" s="97"/>
      <c r="B831" s="97"/>
      <c r="C831" s="97"/>
      <c r="D831" s="97"/>
      <c r="E831" s="97"/>
      <c r="F831" s="97"/>
      <c r="G831" s="98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</row>
    <row r="832">
      <c r="A832" s="97"/>
      <c r="B832" s="97"/>
      <c r="C832" s="97"/>
      <c r="D832" s="97"/>
      <c r="E832" s="97"/>
      <c r="F832" s="97"/>
      <c r="G832" s="98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</row>
    <row r="833">
      <c r="A833" s="97"/>
      <c r="B833" s="97"/>
      <c r="C833" s="97"/>
      <c r="D833" s="97"/>
      <c r="E833" s="97"/>
      <c r="F833" s="97"/>
      <c r="G833" s="98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</row>
    <row r="834">
      <c r="A834" s="97"/>
      <c r="B834" s="97"/>
      <c r="C834" s="97"/>
      <c r="D834" s="97"/>
      <c r="E834" s="97"/>
      <c r="F834" s="97"/>
      <c r="G834" s="98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</row>
    <row r="835">
      <c r="A835" s="97"/>
      <c r="B835" s="97"/>
      <c r="C835" s="97"/>
      <c r="D835" s="97"/>
      <c r="E835" s="97"/>
      <c r="F835" s="97"/>
      <c r="G835" s="98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</row>
    <row r="836">
      <c r="A836" s="97"/>
      <c r="B836" s="97"/>
      <c r="C836" s="97"/>
      <c r="D836" s="97"/>
      <c r="E836" s="97"/>
      <c r="F836" s="97"/>
      <c r="G836" s="98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</row>
    <row r="837">
      <c r="A837" s="97"/>
      <c r="B837" s="97"/>
      <c r="C837" s="97"/>
      <c r="D837" s="97"/>
      <c r="E837" s="97"/>
      <c r="F837" s="97"/>
      <c r="G837" s="98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</row>
    <row r="838">
      <c r="A838" s="97"/>
      <c r="B838" s="97"/>
      <c r="C838" s="97"/>
      <c r="D838" s="97"/>
      <c r="E838" s="97"/>
      <c r="F838" s="97"/>
      <c r="G838" s="98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</row>
    <row r="839">
      <c r="A839" s="97"/>
      <c r="B839" s="97"/>
      <c r="C839" s="97"/>
      <c r="D839" s="97"/>
      <c r="E839" s="97"/>
      <c r="F839" s="97"/>
      <c r="G839" s="98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</row>
    <row r="840">
      <c r="A840" s="97"/>
      <c r="B840" s="97"/>
      <c r="C840" s="97"/>
      <c r="D840" s="97"/>
      <c r="E840" s="97"/>
      <c r="F840" s="97"/>
      <c r="G840" s="98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</row>
    <row r="841">
      <c r="A841" s="97"/>
      <c r="B841" s="97"/>
      <c r="C841" s="97"/>
      <c r="D841" s="97"/>
      <c r="E841" s="97"/>
      <c r="F841" s="97"/>
      <c r="G841" s="98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</row>
    <row r="842">
      <c r="A842" s="97"/>
      <c r="B842" s="97"/>
      <c r="C842" s="97"/>
      <c r="D842" s="97"/>
      <c r="E842" s="97"/>
      <c r="F842" s="97"/>
      <c r="G842" s="98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</row>
    <row r="843">
      <c r="A843" s="97"/>
      <c r="B843" s="97"/>
      <c r="C843" s="97"/>
      <c r="D843" s="97"/>
      <c r="E843" s="97"/>
      <c r="F843" s="97"/>
      <c r="G843" s="98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</row>
    <row r="844">
      <c r="A844" s="97"/>
      <c r="B844" s="97"/>
      <c r="C844" s="97"/>
      <c r="D844" s="97"/>
      <c r="E844" s="97"/>
      <c r="F844" s="97"/>
      <c r="G844" s="98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</row>
    <row r="845">
      <c r="A845" s="97"/>
      <c r="B845" s="97"/>
      <c r="C845" s="97"/>
      <c r="D845" s="97"/>
      <c r="E845" s="97"/>
      <c r="F845" s="97"/>
      <c r="G845" s="98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</row>
    <row r="846">
      <c r="A846" s="97"/>
      <c r="B846" s="97"/>
      <c r="C846" s="97"/>
      <c r="D846" s="97"/>
      <c r="E846" s="97"/>
      <c r="F846" s="97"/>
      <c r="G846" s="98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</row>
    <row r="847">
      <c r="A847" s="97"/>
      <c r="B847" s="97"/>
      <c r="C847" s="97"/>
      <c r="D847" s="97"/>
      <c r="E847" s="97"/>
      <c r="F847" s="97"/>
      <c r="G847" s="98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</row>
    <row r="848">
      <c r="A848" s="97"/>
      <c r="B848" s="97"/>
      <c r="C848" s="97"/>
      <c r="D848" s="97"/>
      <c r="E848" s="97"/>
      <c r="F848" s="97"/>
      <c r="G848" s="98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</row>
    <row r="849">
      <c r="A849" s="97"/>
      <c r="B849" s="97"/>
      <c r="C849" s="97"/>
      <c r="D849" s="97"/>
      <c r="E849" s="97"/>
      <c r="F849" s="97"/>
      <c r="G849" s="98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</row>
    <row r="850">
      <c r="A850" s="97"/>
      <c r="B850" s="97"/>
      <c r="C850" s="97"/>
      <c r="D850" s="97"/>
      <c r="E850" s="97"/>
      <c r="F850" s="97"/>
      <c r="G850" s="98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</row>
    <row r="851">
      <c r="A851" s="97"/>
      <c r="B851" s="97"/>
      <c r="C851" s="97"/>
      <c r="D851" s="97"/>
      <c r="E851" s="97"/>
      <c r="F851" s="97"/>
      <c r="G851" s="98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</row>
    <row r="852">
      <c r="A852" s="97"/>
      <c r="B852" s="97"/>
      <c r="C852" s="97"/>
      <c r="D852" s="97"/>
      <c r="E852" s="97"/>
      <c r="F852" s="97"/>
      <c r="G852" s="98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</row>
    <row r="853">
      <c r="A853" s="97"/>
      <c r="B853" s="97"/>
      <c r="C853" s="97"/>
      <c r="D853" s="97"/>
      <c r="E853" s="97"/>
      <c r="F853" s="97"/>
      <c r="G853" s="98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</row>
    <row r="854">
      <c r="A854" s="97"/>
      <c r="B854" s="97"/>
      <c r="C854" s="97"/>
      <c r="D854" s="97"/>
      <c r="E854" s="97"/>
      <c r="F854" s="97"/>
      <c r="G854" s="98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</row>
    <row r="855">
      <c r="A855" s="97"/>
      <c r="B855" s="97"/>
      <c r="C855" s="97"/>
      <c r="D855" s="97"/>
      <c r="E855" s="97"/>
      <c r="F855" s="97"/>
      <c r="G855" s="98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</row>
    <row r="856">
      <c r="A856" s="97"/>
      <c r="B856" s="97"/>
      <c r="C856" s="97"/>
      <c r="D856" s="97"/>
      <c r="E856" s="97"/>
      <c r="F856" s="97"/>
      <c r="G856" s="98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</row>
    <row r="857">
      <c r="A857" s="97"/>
      <c r="B857" s="97"/>
      <c r="C857" s="97"/>
      <c r="D857" s="97"/>
      <c r="E857" s="97"/>
      <c r="F857" s="97"/>
      <c r="G857" s="98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</row>
    <row r="858">
      <c r="A858" s="97"/>
      <c r="B858" s="97"/>
      <c r="C858" s="97"/>
      <c r="D858" s="97"/>
      <c r="E858" s="97"/>
      <c r="F858" s="97"/>
      <c r="G858" s="98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</row>
    <row r="859">
      <c r="A859" s="97"/>
      <c r="B859" s="97"/>
      <c r="C859" s="97"/>
      <c r="D859" s="97"/>
      <c r="E859" s="97"/>
      <c r="F859" s="97"/>
      <c r="G859" s="98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</row>
    <row r="860">
      <c r="A860" s="97"/>
      <c r="B860" s="97"/>
      <c r="C860" s="97"/>
      <c r="D860" s="97"/>
      <c r="E860" s="97"/>
      <c r="F860" s="97"/>
      <c r="G860" s="98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</row>
    <row r="861">
      <c r="A861" s="97"/>
      <c r="B861" s="97"/>
      <c r="C861" s="97"/>
      <c r="D861" s="97"/>
      <c r="E861" s="97"/>
      <c r="F861" s="97"/>
      <c r="G861" s="98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</row>
    <row r="862">
      <c r="A862" s="97"/>
      <c r="B862" s="97"/>
      <c r="C862" s="97"/>
      <c r="D862" s="97"/>
      <c r="E862" s="97"/>
      <c r="F862" s="97"/>
      <c r="G862" s="98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</row>
    <row r="863">
      <c r="A863" s="97"/>
      <c r="B863" s="97"/>
      <c r="C863" s="97"/>
      <c r="D863" s="97"/>
      <c r="E863" s="97"/>
      <c r="F863" s="97"/>
      <c r="G863" s="98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</row>
    <row r="864">
      <c r="A864" s="97"/>
      <c r="B864" s="97"/>
      <c r="C864" s="97"/>
      <c r="D864" s="97"/>
      <c r="E864" s="97"/>
      <c r="F864" s="97"/>
      <c r="G864" s="98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</row>
    <row r="865">
      <c r="A865" s="97"/>
      <c r="B865" s="97"/>
      <c r="C865" s="97"/>
      <c r="D865" s="97"/>
      <c r="E865" s="97"/>
      <c r="F865" s="97"/>
      <c r="G865" s="98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</row>
    <row r="866">
      <c r="A866" s="97"/>
      <c r="B866" s="97"/>
      <c r="C866" s="97"/>
      <c r="D866" s="97"/>
      <c r="E866" s="97"/>
      <c r="F866" s="97"/>
      <c r="G866" s="98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</row>
    <row r="867">
      <c r="A867" s="97"/>
      <c r="B867" s="97"/>
      <c r="C867" s="97"/>
      <c r="D867" s="97"/>
      <c r="E867" s="97"/>
      <c r="F867" s="97"/>
      <c r="G867" s="98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</row>
    <row r="868">
      <c r="A868" s="97"/>
      <c r="B868" s="97"/>
      <c r="C868" s="97"/>
      <c r="D868" s="97"/>
      <c r="E868" s="97"/>
      <c r="F868" s="97"/>
      <c r="G868" s="98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</row>
    <row r="869">
      <c r="A869" s="97"/>
      <c r="B869" s="97"/>
      <c r="C869" s="97"/>
      <c r="D869" s="97"/>
      <c r="E869" s="97"/>
      <c r="F869" s="97"/>
      <c r="G869" s="98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</row>
    <row r="870">
      <c r="A870" s="97"/>
      <c r="B870" s="97"/>
      <c r="C870" s="97"/>
      <c r="D870" s="97"/>
      <c r="E870" s="97"/>
      <c r="F870" s="97"/>
      <c r="G870" s="98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</row>
    <row r="871">
      <c r="A871" s="97"/>
      <c r="B871" s="97"/>
      <c r="C871" s="97"/>
      <c r="D871" s="97"/>
      <c r="E871" s="97"/>
      <c r="F871" s="97"/>
      <c r="G871" s="98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</row>
    <row r="872">
      <c r="A872" s="97"/>
      <c r="B872" s="97"/>
      <c r="C872" s="97"/>
      <c r="D872" s="97"/>
      <c r="E872" s="97"/>
      <c r="F872" s="97"/>
      <c r="G872" s="98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</row>
    <row r="873">
      <c r="A873" s="97"/>
      <c r="B873" s="97"/>
      <c r="C873" s="97"/>
      <c r="D873" s="97"/>
      <c r="E873" s="97"/>
      <c r="F873" s="97"/>
      <c r="G873" s="98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</row>
    <row r="874">
      <c r="A874" s="97"/>
      <c r="B874" s="97"/>
      <c r="C874" s="97"/>
      <c r="D874" s="97"/>
      <c r="E874" s="97"/>
      <c r="F874" s="97"/>
      <c r="G874" s="98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</row>
    <row r="875">
      <c r="A875" s="97"/>
      <c r="B875" s="97"/>
      <c r="C875" s="97"/>
      <c r="D875" s="97"/>
      <c r="E875" s="97"/>
      <c r="F875" s="97"/>
      <c r="G875" s="98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</row>
    <row r="876">
      <c r="A876" s="97"/>
      <c r="B876" s="97"/>
      <c r="C876" s="97"/>
      <c r="D876" s="97"/>
      <c r="E876" s="97"/>
      <c r="F876" s="97"/>
      <c r="G876" s="98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</row>
    <row r="877">
      <c r="A877" s="97"/>
      <c r="B877" s="97"/>
      <c r="C877" s="97"/>
      <c r="D877" s="97"/>
      <c r="E877" s="97"/>
      <c r="F877" s="97"/>
      <c r="G877" s="98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</row>
    <row r="878">
      <c r="A878" s="97"/>
      <c r="B878" s="97"/>
      <c r="C878" s="97"/>
      <c r="D878" s="97"/>
      <c r="E878" s="97"/>
      <c r="F878" s="97"/>
      <c r="G878" s="98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</row>
    <row r="879">
      <c r="A879" s="97"/>
      <c r="B879" s="97"/>
      <c r="C879" s="97"/>
      <c r="D879" s="97"/>
      <c r="E879" s="97"/>
      <c r="F879" s="97"/>
      <c r="G879" s="98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</row>
    <row r="880">
      <c r="A880" s="97"/>
      <c r="B880" s="97"/>
      <c r="C880" s="97"/>
      <c r="D880" s="97"/>
      <c r="E880" s="97"/>
      <c r="F880" s="97"/>
      <c r="G880" s="98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</row>
    <row r="881">
      <c r="A881" s="97"/>
      <c r="B881" s="97"/>
      <c r="C881" s="97"/>
      <c r="D881" s="97"/>
      <c r="E881" s="97"/>
      <c r="F881" s="97"/>
      <c r="G881" s="98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</row>
    <row r="882">
      <c r="A882" s="97"/>
      <c r="B882" s="97"/>
      <c r="C882" s="97"/>
      <c r="D882" s="97"/>
      <c r="E882" s="97"/>
      <c r="F882" s="97"/>
      <c r="G882" s="98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</row>
    <row r="883">
      <c r="A883" s="97"/>
      <c r="B883" s="97"/>
      <c r="C883" s="97"/>
      <c r="D883" s="97"/>
      <c r="E883" s="97"/>
      <c r="F883" s="97"/>
      <c r="G883" s="98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</row>
    <row r="884">
      <c r="A884" s="97"/>
      <c r="B884" s="97"/>
      <c r="C884" s="97"/>
      <c r="D884" s="97"/>
      <c r="E884" s="97"/>
      <c r="F884" s="97"/>
      <c r="G884" s="98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</row>
    <row r="885">
      <c r="A885" s="97"/>
      <c r="B885" s="97"/>
      <c r="C885" s="97"/>
      <c r="D885" s="97"/>
      <c r="E885" s="97"/>
      <c r="F885" s="97"/>
      <c r="G885" s="98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</row>
    <row r="886">
      <c r="A886" s="97"/>
      <c r="B886" s="97"/>
      <c r="C886" s="97"/>
      <c r="D886" s="97"/>
      <c r="E886" s="97"/>
      <c r="F886" s="97"/>
      <c r="G886" s="98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</row>
    <row r="887">
      <c r="A887" s="97"/>
      <c r="B887" s="97"/>
      <c r="C887" s="97"/>
      <c r="D887" s="97"/>
      <c r="E887" s="97"/>
      <c r="F887" s="97"/>
      <c r="G887" s="98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</row>
    <row r="888">
      <c r="A888" s="97"/>
      <c r="B888" s="97"/>
      <c r="C888" s="97"/>
      <c r="D888" s="97"/>
      <c r="E888" s="97"/>
      <c r="F888" s="97"/>
      <c r="G888" s="98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</row>
    <row r="889">
      <c r="A889" s="97"/>
      <c r="B889" s="97"/>
      <c r="C889" s="97"/>
      <c r="D889" s="97"/>
      <c r="E889" s="97"/>
      <c r="F889" s="97"/>
      <c r="G889" s="98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</row>
    <row r="890">
      <c r="A890" s="97"/>
      <c r="B890" s="97"/>
      <c r="C890" s="97"/>
      <c r="D890" s="97"/>
      <c r="E890" s="97"/>
      <c r="F890" s="97"/>
      <c r="G890" s="98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</row>
    <row r="891">
      <c r="A891" s="97"/>
      <c r="B891" s="97"/>
      <c r="C891" s="97"/>
      <c r="D891" s="97"/>
      <c r="E891" s="97"/>
      <c r="F891" s="97"/>
      <c r="G891" s="98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</row>
    <row r="892">
      <c r="A892" s="97"/>
      <c r="B892" s="97"/>
      <c r="C892" s="97"/>
      <c r="D892" s="97"/>
      <c r="E892" s="97"/>
      <c r="F892" s="97"/>
      <c r="G892" s="98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</row>
    <row r="893">
      <c r="A893" s="97"/>
      <c r="B893" s="97"/>
      <c r="C893" s="97"/>
      <c r="D893" s="97"/>
      <c r="E893" s="97"/>
      <c r="F893" s="97"/>
      <c r="G893" s="98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</row>
    <row r="894">
      <c r="A894" s="97"/>
      <c r="B894" s="97"/>
      <c r="C894" s="97"/>
      <c r="D894" s="97"/>
      <c r="E894" s="97"/>
      <c r="F894" s="97"/>
      <c r="G894" s="98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</row>
    <row r="895">
      <c r="A895" s="97"/>
      <c r="B895" s="97"/>
      <c r="C895" s="97"/>
      <c r="D895" s="97"/>
      <c r="E895" s="97"/>
      <c r="F895" s="97"/>
      <c r="G895" s="98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</row>
    <row r="896">
      <c r="A896" s="97"/>
      <c r="B896" s="97"/>
      <c r="C896" s="97"/>
      <c r="D896" s="97"/>
      <c r="E896" s="97"/>
      <c r="F896" s="97"/>
      <c r="G896" s="98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97"/>
      <c r="AX896" s="97"/>
      <c r="AY896" s="97"/>
      <c r="AZ896" s="97"/>
      <c r="BA896" s="97"/>
      <c r="BB896" s="97"/>
    </row>
    <row r="897">
      <c r="A897" s="97"/>
      <c r="B897" s="97"/>
      <c r="C897" s="97"/>
      <c r="D897" s="97"/>
      <c r="E897" s="97"/>
      <c r="F897" s="97"/>
      <c r="G897" s="98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97"/>
      <c r="AX897" s="97"/>
      <c r="AY897" s="97"/>
      <c r="AZ897" s="97"/>
      <c r="BA897" s="97"/>
      <c r="BB897" s="97"/>
    </row>
    <row r="898">
      <c r="A898" s="97"/>
      <c r="B898" s="97"/>
      <c r="C898" s="97"/>
      <c r="D898" s="97"/>
      <c r="E898" s="97"/>
      <c r="F898" s="97"/>
      <c r="G898" s="98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97"/>
      <c r="AX898" s="97"/>
      <c r="AY898" s="97"/>
      <c r="AZ898" s="97"/>
      <c r="BA898" s="97"/>
      <c r="BB898" s="97"/>
    </row>
    <row r="899">
      <c r="A899" s="97"/>
      <c r="B899" s="97"/>
      <c r="C899" s="97"/>
      <c r="D899" s="97"/>
      <c r="E899" s="97"/>
      <c r="F899" s="97"/>
      <c r="G899" s="98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97"/>
      <c r="AX899" s="97"/>
      <c r="AY899" s="97"/>
      <c r="AZ899" s="97"/>
      <c r="BA899" s="97"/>
      <c r="BB899" s="97"/>
    </row>
    <row r="900">
      <c r="A900" s="97"/>
      <c r="B900" s="97"/>
      <c r="C900" s="97"/>
      <c r="D900" s="97"/>
      <c r="E900" s="97"/>
      <c r="F900" s="97"/>
      <c r="G900" s="98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97"/>
      <c r="AX900" s="97"/>
      <c r="AY900" s="97"/>
      <c r="AZ900" s="97"/>
      <c r="BA900" s="97"/>
      <c r="BB900" s="97"/>
    </row>
    <row r="901">
      <c r="A901" s="97"/>
      <c r="B901" s="97"/>
      <c r="C901" s="97"/>
      <c r="D901" s="97"/>
      <c r="E901" s="97"/>
      <c r="F901" s="97"/>
      <c r="G901" s="98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97"/>
      <c r="AX901" s="97"/>
      <c r="AY901" s="97"/>
      <c r="AZ901" s="97"/>
      <c r="BA901" s="97"/>
      <c r="BB901" s="97"/>
    </row>
    <row r="902">
      <c r="A902" s="97"/>
      <c r="B902" s="97"/>
      <c r="C902" s="97"/>
      <c r="D902" s="97"/>
      <c r="E902" s="97"/>
      <c r="F902" s="97"/>
      <c r="G902" s="98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97"/>
      <c r="AX902" s="97"/>
      <c r="AY902" s="97"/>
      <c r="AZ902" s="97"/>
      <c r="BA902" s="97"/>
      <c r="BB902" s="97"/>
    </row>
    <row r="903">
      <c r="A903" s="97"/>
      <c r="B903" s="97"/>
      <c r="C903" s="97"/>
      <c r="D903" s="97"/>
      <c r="E903" s="97"/>
      <c r="F903" s="97"/>
      <c r="G903" s="98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97"/>
      <c r="AX903" s="97"/>
      <c r="AY903" s="97"/>
      <c r="AZ903" s="97"/>
      <c r="BA903" s="97"/>
      <c r="BB903" s="97"/>
    </row>
    <row r="904">
      <c r="A904" s="97"/>
      <c r="B904" s="97"/>
      <c r="C904" s="97"/>
      <c r="D904" s="97"/>
      <c r="E904" s="97"/>
      <c r="F904" s="97"/>
      <c r="G904" s="98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97"/>
      <c r="AX904" s="97"/>
      <c r="AY904" s="97"/>
      <c r="AZ904" s="97"/>
      <c r="BA904" s="97"/>
      <c r="BB904" s="97"/>
    </row>
    <row r="905">
      <c r="A905" s="97"/>
      <c r="B905" s="97"/>
      <c r="C905" s="97"/>
      <c r="D905" s="97"/>
      <c r="E905" s="97"/>
      <c r="F905" s="97"/>
      <c r="G905" s="98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97"/>
      <c r="AX905" s="97"/>
      <c r="AY905" s="97"/>
      <c r="AZ905" s="97"/>
      <c r="BA905" s="97"/>
      <c r="BB905" s="97"/>
    </row>
    <row r="906">
      <c r="A906" s="97"/>
      <c r="B906" s="97"/>
      <c r="C906" s="97"/>
      <c r="D906" s="97"/>
      <c r="E906" s="97"/>
      <c r="F906" s="97"/>
      <c r="G906" s="98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97"/>
      <c r="AX906" s="97"/>
      <c r="AY906" s="97"/>
      <c r="AZ906" s="97"/>
      <c r="BA906" s="97"/>
      <c r="BB906" s="97"/>
    </row>
    <row r="907">
      <c r="A907" s="97"/>
      <c r="B907" s="97"/>
      <c r="C907" s="97"/>
      <c r="D907" s="97"/>
      <c r="E907" s="97"/>
      <c r="F907" s="97"/>
      <c r="G907" s="98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97"/>
      <c r="AX907" s="97"/>
      <c r="AY907" s="97"/>
      <c r="AZ907" s="97"/>
      <c r="BA907" s="97"/>
      <c r="BB907" s="97"/>
    </row>
    <row r="908">
      <c r="A908" s="97"/>
      <c r="B908" s="97"/>
      <c r="C908" s="97"/>
      <c r="D908" s="97"/>
      <c r="E908" s="97"/>
      <c r="F908" s="97"/>
      <c r="G908" s="98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97"/>
      <c r="AX908" s="97"/>
      <c r="AY908" s="97"/>
      <c r="AZ908" s="97"/>
      <c r="BA908" s="97"/>
      <c r="BB908" s="97"/>
    </row>
    <row r="909">
      <c r="A909" s="97"/>
      <c r="B909" s="97"/>
      <c r="C909" s="97"/>
      <c r="D909" s="97"/>
      <c r="E909" s="97"/>
      <c r="F909" s="97"/>
      <c r="G909" s="98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</row>
    <row r="910">
      <c r="A910" s="97"/>
      <c r="B910" s="97"/>
      <c r="C910" s="97"/>
      <c r="D910" s="97"/>
      <c r="E910" s="97"/>
      <c r="F910" s="97"/>
      <c r="G910" s="98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97"/>
      <c r="AX910" s="97"/>
      <c r="AY910" s="97"/>
      <c r="AZ910" s="97"/>
      <c r="BA910" s="97"/>
      <c r="BB910" s="97"/>
    </row>
    <row r="911">
      <c r="A911" s="97"/>
      <c r="B911" s="97"/>
      <c r="C911" s="97"/>
      <c r="D911" s="97"/>
      <c r="E911" s="97"/>
      <c r="F911" s="97"/>
      <c r="G911" s="98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97"/>
      <c r="AX911" s="97"/>
      <c r="AY911" s="97"/>
      <c r="AZ911" s="97"/>
      <c r="BA911" s="97"/>
      <c r="BB911" s="97"/>
    </row>
    <row r="912">
      <c r="A912" s="97"/>
      <c r="B912" s="97"/>
      <c r="C912" s="97"/>
      <c r="D912" s="97"/>
      <c r="E912" s="97"/>
      <c r="F912" s="97"/>
      <c r="G912" s="98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97"/>
      <c r="AX912" s="97"/>
      <c r="AY912" s="97"/>
      <c r="AZ912" s="97"/>
      <c r="BA912" s="97"/>
      <c r="BB912" s="97"/>
    </row>
    <row r="913">
      <c r="A913" s="97"/>
      <c r="B913" s="97"/>
      <c r="C913" s="97"/>
      <c r="D913" s="97"/>
      <c r="E913" s="97"/>
      <c r="F913" s="97"/>
      <c r="G913" s="98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</row>
    <row r="914">
      <c r="A914" s="97"/>
      <c r="B914" s="97"/>
      <c r="C914" s="97"/>
      <c r="D914" s="97"/>
      <c r="E914" s="97"/>
      <c r="F914" s="97"/>
      <c r="G914" s="98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</row>
    <row r="915">
      <c r="A915" s="97"/>
      <c r="B915" s="97"/>
      <c r="C915" s="97"/>
      <c r="D915" s="97"/>
      <c r="E915" s="97"/>
      <c r="F915" s="97"/>
      <c r="G915" s="98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</row>
    <row r="916">
      <c r="A916" s="97"/>
      <c r="B916" s="97"/>
      <c r="C916" s="97"/>
      <c r="D916" s="97"/>
      <c r="E916" s="97"/>
      <c r="F916" s="97"/>
      <c r="G916" s="98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97"/>
      <c r="AX916" s="97"/>
      <c r="AY916" s="97"/>
      <c r="AZ916" s="97"/>
      <c r="BA916" s="97"/>
      <c r="BB916" s="97"/>
    </row>
    <row r="917">
      <c r="A917" s="97"/>
      <c r="B917" s="97"/>
      <c r="C917" s="97"/>
      <c r="D917" s="97"/>
      <c r="E917" s="97"/>
      <c r="F917" s="97"/>
      <c r="G917" s="98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97"/>
      <c r="AX917" s="97"/>
      <c r="AY917" s="97"/>
      <c r="AZ917" s="97"/>
      <c r="BA917" s="97"/>
      <c r="BB917" s="97"/>
    </row>
    <row r="918">
      <c r="A918" s="97"/>
      <c r="B918" s="97"/>
      <c r="C918" s="97"/>
      <c r="D918" s="97"/>
      <c r="E918" s="97"/>
      <c r="F918" s="97"/>
      <c r="G918" s="98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97"/>
      <c r="AX918" s="97"/>
      <c r="AY918" s="97"/>
      <c r="AZ918" s="97"/>
      <c r="BA918" s="97"/>
      <c r="BB918" s="97"/>
    </row>
    <row r="919">
      <c r="A919" s="97"/>
      <c r="B919" s="97"/>
      <c r="C919" s="97"/>
      <c r="D919" s="97"/>
      <c r="E919" s="97"/>
      <c r="F919" s="97"/>
      <c r="G919" s="98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</row>
    <row r="920">
      <c r="A920" s="97"/>
      <c r="B920" s="97"/>
      <c r="C920" s="97"/>
      <c r="D920" s="97"/>
      <c r="E920" s="97"/>
      <c r="F920" s="97"/>
      <c r="G920" s="98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97"/>
      <c r="AX920" s="97"/>
      <c r="AY920" s="97"/>
      <c r="AZ920" s="97"/>
      <c r="BA920" s="97"/>
      <c r="BB920" s="97"/>
    </row>
    <row r="921">
      <c r="A921" s="97"/>
      <c r="B921" s="97"/>
      <c r="C921" s="97"/>
      <c r="D921" s="97"/>
      <c r="E921" s="97"/>
      <c r="F921" s="97"/>
      <c r="G921" s="98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</row>
    <row r="922">
      <c r="A922" s="97"/>
      <c r="B922" s="97"/>
      <c r="C922" s="97"/>
      <c r="D922" s="97"/>
      <c r="E922" s="97"/>
      <c r="F922" s="97"/>
      <c r="G922" s="98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</row>
    <row r="923">
      <c r="A923" s="97"/>
      <c r="B923" s="97"/>
      <c r="C923" s="97"/>
      <c r="D923" s="97"/>
      <c r="E923" s="97"/>
      <c r="F923" s="97"/>
      <c r="G923" s="98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</row>
    <row r="924">
      <c r="A924" s="97"/>
      <c r="B924" s="97"/>
      <c r="C924" s="97"/>
      <c r="D924" s="97"/>
      <c r="E924" s="97"/>
      <c r="F924" s="97"/>
      <c r="G924" s="98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97"/>
      <c r="AX924" s="97"/>
      <c r="AY924" s="97"/>
      <c r="AZ924" s="97"/>
      <c r="BA924" s="97"/>
      <c r="BB924" s="97"/>
    </row>
    <row r="925">
      <c r="A925" s="97"/>
      <c r="B925" s="97"/>
      <c r="C925" s="97"/>
      <c r="D925" s="97"/>
      <c r="E925" s="97"/>
      <c r="F925" s="97"/>
      <c r="G925" s="98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</row>
    <row r="926">
      <c r="A926" s="97"/>
      <c r="B926" s="97"/>
      <c r="C926" s="97"/>
      <c r="D926" s="97"/>
      <c r="E926" s="97"/>
      <c r="F926" s="97"/>
      <c r="G926" s="98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</row>
    <row r="927">
      <c r="A927" s="97"/>
      <c r="B927" s="97"/>
      <c r="C927" s="97"/>
      <c r="D927" s="97"/>
      <c r="E927" s="97"/>
      <c r="F927" s="97"/>
      <c r="G927" s="98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97"/>
      <c r="AX927" s="97"/>
      <c r="AY927" s="97"/>
      <c r="AZ927" s="97"/>
      <c r="BA927" s="97"/>
      <c r="BB927" s="97"/>
    </row>
    <row r="928">
      <c r="A928" s="97"/>
      <c r="B928" s="97"/>
      <c r="C928" s="97"/>
      <c r="D928" s="97"/>
      <c r="E928" s="97"/>
      <c r="F928" s="97"/>
      <c r="G928" s="98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</row>
    <row r="929">
      <c r="A929" s="97"/>
      <c r="B929" s="97"/>
      <c r="C929" s="97"/>
      <c r="D929" s="97"/>
      <c r="E929" s="97"/>
      <c r="F929" s="97"/>
      <c r="G929" s="98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</row>
    <row r="930">
      <c r="A930" s="97"/>
      <c r="B930" s="97"/>
      <c r="C930" s="97"/>
      <c r="D930" s="97"/>
      <c r="E930" s="97"/>
      <c r="F930" s="97"/>
      <c r="G930" s="98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97"/>
      <c r="AX930" s="97"/>
      <c r="AY930" s="97"/>
      <c r="AZ930" s="97"/>
      <c r="BA930" s="97"/>
      <c r="BB930" s="97"/>
    </row>
    <row r="931">
      <c r="A931" s="97"/>
      <c r="B931" s="97"/>
      <c r="C931" s="97"/>
      <c r="D931" s="97"/>
      <c r="E931" s="97"/>
      <c r="F931" s="97"/>
      <c r="G931" s="98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</row>
    <row r="932">
      <c r="A932" s="97"/>
      <c r="B932" s="97"/>
      <c r="C932" s="97"/>
      <c r="D932" s="97"/>
      <c r="E932" s="97"/>
      <c r="F932" s="97"/>
      <c r="G932" s="98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</row>
    <row r="933">
      <c r="A933" s="97"/>
      <c r="B933" s="97"/>
      <c r="C933" s="97"/>
      <c r="D933" s="97"/>
      <c r="E933" s="97"/>
      <c r="F933" s="97"/>
      <c r="G933" s="98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</row>
    <row r="934">
      <c r="A934" s="97"/>
      <c r="B934" s="97"/>
      <c r="C934" s="97"/>
      <c r="D934" s="97"/>
      <c r="E934" s="97"/>
      <c r="F934" s="97"/>
      <c r="G934" s="98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</row>
    <row r="935">
      <c r="A935" s="97"/>
      <c r="B935" s="97"/>
      <c r="C935" s="97"/>
      <c r="D935" s="97"/>
      <c r="E935" s="97"/>
      <c r="F935" s="97"/>
      <c r="G935" s="98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</row>
    <row r="936">
      <c r="A936" s="97"/>
      <c r="B936" s="97"/>
      <c r="C936" s="97"/>
      <c r="D936" s="97"/>
      <c r="E936" s="97"/>
      <c r="F936" s="97"/>
      <c r="G936" s="98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</row>
    <row r="937">
      <c r="A937" s="97"/>
      <c r="B937" s="97"/>
      <c r="C937" s="97"/>
      <c r="D937" s="97"/>
      <c r="E937" s="97"/>
      <c r="F937" s="97"/>
      <c r="G937" s="98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97"/>
      <c r="AX937" s="97"/>
      <c r="AY937" s="97"/>
      <c r="AZ937" s="97"/>
      <c r="BA937" s="97"/>
      <c r="BB937" s="97"/>
    </row>
    <row r="938">
      <c r="A938" s="97"/>
      <c r="B938" s="97"/>
      <c r="C938" s="97"/>
      <c r="D938" s="97"/>
      <c r="E938" s="97"/>
      <c r="F938" s="97"/>
      <c r="G938" s="98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97"/>
      <c r="AX938" s="97"/>
      <c r="AY938" s="97"/>
      <c r="AZ938" s="97"/>
      <c r="BA938" s="97"/>
      <c r="BB938" s="97"/>
    </row>
    <row r="939">
      <c r="A939" s="97"/>
      <c r="B939" s="97"/>
      <c r="C939" s="97"/>
      <c r="D939" s="97"/>
      <c r="E939" s="97"/>
      <c r="F939" s="97"/>
      <c r="G939" s="98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</row>
    <row r="940">
      <c r="A940" s="97"/>
      <c r="B940" s="97"/>
      <c r="C940" s="97"/>
      <c r="D940" s="97"/>
      <c r="E940" s="97"/>
      <c r="F940" s="97"/>
      <c r="G940" s="98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</row>
    <row r="941">
      <c r="A941" s="97"/>
      <c r="B941" s="97"/>
      <c r="C941" s="97"/>
      <c r="D941" s="97"/>
      <c r="E941" s="97"/>
      <c r="F941" s="97"/>
      <c r="G941" s="98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97"/>
      <c r="AX941" s="97"/>
      <c r="AY941" s="97"/>
      <c r="AZ941" s="97"/>
      <c r="BA941" s="97"/>
      <c r="BB941" s="97"/>
    </row>
    <row r="942">
      <c r="A942" s="97"/>
      <c r="B942" s="97"/>
      <c r="C942" s="97"/>
      <c r="D942" s="97"/>
      <c r="E942" s="97"/>
      <c r="F942" s="97"/>
      <c r="G942" s="98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97"/>
      <c r="AX942" s="97"/>
      <c r="AY942" s="97"/>
      <c r="AZ942" s="97"/>
      <c r="BA942" s="97"/>
      <c r="BB942" s="97"/>
    </row>
    <row r="943">
      <c r="A943" s="97"/>
      <c r="B943" s="97"/>
      <c r="C943" s="97"/>
      <c r="D943" s="97"/>
      <c r="E943" s="97"/>
      <c r="F943" s="97"/>
      <c r="G943" s="98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97"/>
      <c r="AX943" s="97"/>
      <c r="AY943" s="97"/>
      <c r="AZ943" s="97"/>
      <c r="BA943" s="97"/>
      <c r="BB943" s="97"/>
    </row>
    <row r="944">
      <c r="A944" s="97"/>
      <c r="B944" s="97"/>
      <c r="C944" s="97"/>
      <c r="D944" s="97"/>
      <c r="E944" s="97"/>
      <c r="F944" s="97"/>
      <c r="G944" s="98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97"/>
      <c r="AX944" s="97"/>
      <c r="AY944" s="97"/>
      <c r="AZ944" s="97"/>
      <c r="BA944" s="97"/>
      <c r="BB944" s="97"/>
    </row>
    <row r="945">
      <c r="A945" s="97"/>
      <c r="B945" s="97"/>
      <c r="C945" s="97"/>
      <c r="D945" s="97"/>
      <c r="E945" s="97"/>
      <c r="F945" s="97"/>
      <c r="G945" s="98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97"/>
      <c r="AX945" s="97"/>
      <c r="AY945" s="97"/>
      <c r="AZ945" s="97"/>
      <c r="BA945" s="97"/>
      <c r="BB945" s="97"/>
    </row>
    <row r="946">
      <c r="A946" s="97"/>
      <c r="B946" s="97"/>
      <c r="C946" s="97"/>
      <c r="D946" s="97"/>
      <c r="E946" s="97"/>
      <c r="F946" s="97"/>
      <c r="G946" s="98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97"/>
      <c r="AX946" s="97"/>
      <c r="AY946" s="97"/>
      <c r="AZ946" s="97"/>
      <c r="BA946" s="97"/>
      <c r="BB946" s="97"/>
    </row>
    <row r="947">
      <c r="A947" s="97"/>
      <c r="B947" s="97"/>
      <c r="C947" s="97"/>
      <c r="D947" s="97"/>
      <c r="E947" s="97"/>
      <c r="F947" s="97"/>
      <c r="G947" s="98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97"/>
      <c r="AX947" s="97"/>
      <c r="AY947" s="97"/>
      <c r="AZ947" s="97"/>
      <c r="BA947" s="97"/>
      <c r="BB947" s="97"/>
    </row>
    <row r="948">
      <c r="A948" s="97"/>
      <c r="B948" s="97"/>
      <c r="C948" s="97"/>
      <c r="D948" s="97"/>
      <c r="E948" s="97"/>
      <c r="F948" s="97"/>
      <c r="G948" s="98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97"/>
      <c r="AX948" s="97"/>
      <c r="AY948" s="97"/>
      <c r="AZ948" s="97"/>
      <c r="BA948" s="97"/>
      <c r="BB948" s="97"/>
    </row>
    <row r="949">
      <c r="A949" s="97"/>
      <c r="B949" s="97"/>
      <c r="C949" s="97"/>
      <c r="D949" s="97"/>
      <c r="E949" s="97"/>
      <c r="F949" s="97"/>
      <c r="G949" s="98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97"/>
      <c r="AX949" s="97"/>
      <c r="AY949" s="97"/>
      <c r="AZ949" s="97"/>
      <c r="BA949" s="97"/>
      <c r="BB949" s="97"/>
    </row>
    <row r="950">
      <c r="A950" s="97"/>
      <c r="B950" s="97"/>
      <c r="C950" s="97"/>
      <c r="D950" s="97"/>
      <c r="E950" s="97"/>
      <c r="F950" s="97"/>
      <c r="G950" s="98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97"/>
      <c r="AX950" s="97"/>
      <c r="AY950" s="97"/>
      <c r="AZ950" s="97"/>
      <c r="BA950" s="97"/>
      <c r="BB950" s="97"/>
    </row>
    <row r="951">
      <c r="A951" s="97"/>
      <c r="B951" s="97"/>
      <c r="C951" s="97"/>
      <c r="D951" s="97"/>
      <c r="E951" s="97"/>
      <c r="F951" s="97"/>
      <c r="G951" s="98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97"/>
      <c r="AX951" s="97"/>
      <c r="AY951" s="97"/>
      <c r="AZ951" s="97"/>
      <c r="BA951" s="97"/>
      <c r="BB951" s="97"/>
    </row>
    <row r="952">
      <c r="A952" s="97"/>
      <c r="B952" s="97"/>
      <c r="C952" s="97"/>
      <c r="D952" s="97"/>
      <c r="E952" s="97"/>
      <c r="F952" s="97"/>
      <c r="G952" s="98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97"/>
      <c r="AX952" s="97"/>
      <c r="AY952" s="97"/>
      <c r="AZ952" s="97"/>
      <c r="BA952" s="97"/>
      <c r="BB952" s="97"/>
    </row>
    <row r="953">
      <c r="A953" s="97"/>
      <c r="B953" s="97"/>
      <c r="C953" s="97"/>
      <c r="D953" s="97"/>
      <c r="E953" s="97"/>
      <c r="F953" s="97"/>
      <c r="G953" s="98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97"/>
      <c r="AX953" s="97"/>
      <c r="AY953" s="97"/>
      <c r="AZ953" s="97"/>
      <c r="BA953" s="97"/>
      <c r="BB953" s="97"/>
    </row>
    <row r="954">
      <c r="A954" s="97"/>
      <c r="B954" s="97"/>
      <c r="C954" s="97"/>
      <c r="D954" s="97"/>
      <c r="E954" s="97"/>
      <c r="F954" s="97"/>
      <c r="G954" s="98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</row>
    <row r="955">
      <c r="A955" s="97"/>
      <c r="B955" s="97"/>
      <c r="C955" s="97"/>
      <c r="D955" s="97"/>
      <c r="E955" s="97"/>
      <c r="F955" s="97"/>
      <c r="G955" s="98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97"/>
      <c r="AX955" s="97"/>
      <c r="AY955" s="97"/>
      <c r="AZ955" s="97"/>
      <c r="BA955" s="97"/>
      <c r="BB955" s="97"/>
    </row>
    <row r="956">
      <c r="A956" s="97"/>
      <c r="B956" s="97"/>
      <c r="C956" s="97"/>
      <c r="D956" s="97"/>
      <c r="E956" s="97"/>
      <c r="F956" s="97"/>
      <c r="G956" s="98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97"/>
      <c r="AX956" s="97"/>
      <c r="AY956" s="97"/>
      <c r="AZ956" s="97"/>
      <c r="BA956" s="97"/>
      <c r="BB956" s="97"/>
    </row>
    <row r="957">
      <c r="A957" s="97"/>
      <c r="B957" s="97"/>
      <c r="C957" s="97"/>
      <c r="D957" s="97"/>
      <c r="E957" s="97"/>
      <c r="F957" s="97"/>
      <c r="G957" s="98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97"/>
      <c r="AX957" s="97"/>
      <c r="AY957" s="97"/>
      <c r="AZ957" s="97"/>
      <c r="BA957" s="97"/>
      <c r="BB957" s="97"/>
    </row>
    <row r="958">
      <c r="A958" s="97"/>
      <c r="B958" s="97"/>
      <c r="C958" s="97"/>
      <c r="D958" s="97"/>
      <c r="E958" s="97"/>
      <c r="F958" s="97"/>
      <c r="G958" s="98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</row>
    <row r="959">
      <c r="A959" s="97"/>
      <c r="B959" s="97"/>
      <c r="C959" s="97"/>
      <c r="D959" s="97"/>
      <c r="E959" s="97"/>
      <c r="F959" s="97"/>
      <c r="G959" s="98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97"/>
      <c r="AX959" s="97"/>
      <c r="AY959" s="97"/>
      <c r="AZ959" s="97"/>
      <c r="BA959" s="97"/>
      <c r="BB959" s="97"/>
    </row>
    <row r="960">
      <c r="A960" s="97"/>
      <c r="B960" s="97"/>
      <c r="C960" s="97"/>
      <c r="D960" s="97"/>
      <c r="E960" s="97"/>
      <c r="F960" s="97"/>
      <c r="G960" s="98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97"/>
      <c r="AX960" s="97"/>
      <c r="AY960" s="97"/>
      <c r="AZ960" s="97"/>
      <c r="BA960" s="97"/>
      <c r="BB960" s="97"/>
    </row>
    <row r="961">
      <c r="A961" s="97"/>
      <c r="B961" s="97"/>
      <c r="C961" s="97"/>
      <c r="D961" s="97"/>
      <c r="E961" s="97"/>
      <c r="F961" s="97"/>
      <c r="G961" s="98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97"/>
      <c r="AX961" s="97"/>
      <c r="AY961" s="97"/>
      <c r="AZ961" s="97"/>
      <c r="BA961" s="97"/>
      <c r="BB961" s="97"/>
    </row>
    <row r="962">
      <c r="A962" s="97"/>
      <c r="B962" s="97"/>
      <c r="C962" s="97"/>
      <c r="D962" s="97"/>
      <c r="E962" s="97"/>
      <c r="F962" s="97"/>
      <c r="G962" s="98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97"/>
      <c r="AX962" s="97"/>
      <c r="AY962" s="97"/>
      <c r="AZ962" s="97"/>
      <c r="BA962" s="97"/>
      <c r="BB962" s="97"/>
    </row>
    <row r="963">
      <c r="A963" s="97"/>
      <c r="B963" s="97"/>
      <c r="C963" s="97"/>
      <c r="D963" s="97"/>
      <c r="E963" s="97"/>
      <c r="F963" s="97"/>
      <c r="G963" s="98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97"/>
      <c r="AX963" s="97"/>
      <c r="AY963" s="97"/>
      <c r="AZ963" s="97"/>
      <c r="BA963" s="97"/>
      <c r="BB963" s="97"/>
    </row>
    <row r="964">
      <c r="A964" s="97"/>
      <c r="B964" s="97"/>
      <c r="C964" s="97"/>
      <c r="D964" s="97"/>
      <c r="E964" s="97"/>
      <c r="F964" s="97"/>
      <c r="G964" s="98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97"/>
      <c r="AX964" s="97"/>
      <c r="AY964" s="97"/>
      <c r="AZ964" s="97"/>
      <c r="BA964" s="97"/>
      <c r="BB964" s="97"/>
    </row>
    <row r="965">
      <c r="A965" s="97"/>
      <c r="B965" s="97"/>
      <c r="C965" s="97"/>
      <c r="D965" s="97"/>
      <c r="E965" s="97"/>
      <c r="F965" s="97"/>
      <c r="G965" s="98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97"/>
      <c r="AX965" s="97"/>
      <c r="AY965" s="97"/>
      <c r="AZ965" s="97"/>
      <c r="BA965" s="97"/>
      <c r="BB965" s="97"/>
    </row>
    <row r="966">
      <c r="A966" s="97"/>
      <c r="B966" s="97"/>
      <c r="C966" s="97"/>
      <c r="D966" s="97"/>
      <c r="E966" s="97"/>
      <c r="F966" s="97"/>
      <c r="G966" s="98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97"/>
      <c r="AX966" s="97"/>
      <c r="AY966" s="97"/>
      <c r="AZ966" s="97"/>
      <c r="BA966" s="97"/>
      <c r="BB966" s="97"/>
    </row>
    <row r="967">
      <c r="A967" s="97"/>
      <c r="B967" s="97"/>
      <c r="C967" s="97"/>
      <c r="D967" s="97"/>
      <c r="E967" s="97"/>
      <c r="F967" s="97"/>
      <c r="G967" s="98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97"/>
      <c r="AX967" s="97"/>
      <c r="AY967" s="97"/>
      <c r="AZ967" s="97"/>
      <c r="BA967" s="97"/>
      <c r="BB967" s="97"/>
    </row>
    <row r="968">
      <c r="A968" s="97"/>
      <c r="B968" s="97"/>
      <c r="C968" s="97"/>
      <c r="D968" s="97"/>
      <c r="E968" s="97"/>
      <c r="F968" s="97"/>
      <c r="G968" s="98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97"/>
      <c r="AX968" s="97"/>
      <c r="AY968" s="97"/>
      <c r="AZ968" s="97"/>
      <c r="BA968" s="97"/>
      <c r="BB968" s="97"/>
    </row>
    <row r="969">
      <c r="A969" s="97"/>
      <c r="B969" s="97"/>
      <c r="C969" s="97"/>
      <c r="D969" s="97"/>
      <c r="E969" s="97"/>
      <c r="F969" s="97"/>
      <c r="G969" s="98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97"/>
      <c r="AX969" s="97"/>
      <c r="AY969" s="97"/>
      <c r="AZ969" s="97"/>
      <c r="BA969" s="97"/>
      <c r="BB969" s="97"/>
    </row>
    <row r="970">
      <c r="A970" s="97"/>
      <c r="B970" s="97"/>
      <c r="C970" s="97"/>
      <c r="D970" s="97"/>
      <c r="E970" s="97"/>
      <c r="F970" s="97"/>
      <c r="G970" s="98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97"/>
      <c r="AX970" s="97"/>
      <c r="AY970" s="97"/>
      <c r="AZ970" s="97"/>
      <c r="BA970" s="97"/>
      <c r="BB970" s="97"/>
    </row>
    <row r="971">
      <c r="A971" s="97"/>
      <c r="B971" s="97"/>
      <c r="C971" s="97"/>
      <c r="D971" s="97"/>
      <c r="E971" s="97"/>
      <c r="F971" s="97"/>
      <c r="G971" s="98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</row>
    <row r="972">
      <c r="A972" s="97"/>
      <c r="B972" s="97"/>
      <c r="C972" s="97"/>
      <c r="D972" s="97"/>
      <c r="E972" s="97"/>
      <c r="F972" s="97"/>
      <c r="G972" s="98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97"/>
      <c r="AX972" s="97"/>
      <c r="AY972" s="97"/>
      <c r="AZ972" s="97"/>
      <c r="BA972" s="97"/>
      <c r="BB972" s="97"/>
    </row>
    <row r="973">
      <c r="A973" s="97"/>
      <c r="B973" s="97"/>
      <c r="C973" s="97"/>
      <c r="D973" s="97"/>
      <c r="E973" s="97"/>
      <c r="F973" s="97"/>
      <c r="G973" s="98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97"/>
      <c r="AX973" s="97"/>
      <c r="AY973" s="97"/>
      <c r="AZ973" s="97"/>
      <c r="BA973" s="97"/>
      <c r="BB973" s="97"/>
    </row>
    <row r="974">
      <c r="A974" s="97"/>
      <c r="B974" s="97"/>
      <c r="C974" s="97"/>
      <c r="D974" s="97"/>
      <c r="E974" s="97"/>
      <c r="F974" s="97"/>
      <c r="G974" s="98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97"/>
      <c r="AX974" s="97"/>
      <c r="AY974" s="97"/>
      <c r="AZ974" s="97"/>
      <c r="BA974" s="97"/>
      <c r="BB974" s="97"/>
    </row>
    <row r="975">
      <c r="A975" s="97"/>
      <c r="B975" s="97"/>
      <c r="C975" s="97"/>
      <c r="D975" s="97"/>
      <c r="E975" s="97"/>
      <c r="F975" s="97"/>
      <c r="G975" s="98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</row>
    <row r="976">
      <c r="A976" s="97"/>
      <c r="B976" s="97"/>
      <c r="C976" s="97"/>
      <c r="D976" s="97"/>
      <c r="E976" s="97"/>
      <c r="F976" s="97"/>
      <c r="G976" s="98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97"/>
      <c r="AX976" s="97"/>
      <c r="AY976" s="97"/>
      <c r="AZ976" s="97"/>
      <c r="BA976" s="97"/>
      <c r="BB976" s="97"/>
    </row>
    <row r="977">
      <c r="A977" s="97"/>
      <c r="B977" s="97"/>
      <c r="C977" s="97"/>
      <c r="D977" s="97"/>
      <c r="E977" s="97"/>
      <c r="F977" s="97"/>
      <c r="G977" s="98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</row>
    <row r="978">
      <c r="A978" s="97"/>
      <c r="B978" s="97"/>
      <c r="C978" s="97"/>
      <c r="D978" s="97"/>
      <c r="E978" s="97"/>
      <c r="F978" s="97"/>
      <c r="G978" s="98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97"/>
      <c r="AX978" s="97"/>
      <c r="AY978" s="97"/>
      <c r="AZ978" s="97"/>
      <c r="BA978" s="97"/>
      <c r="BB978" s="97"/>
    </row>
    <row r="979">
      <c r="A979" s="97"/>
      <c r="B979" s="97"/>
      <c r="C979" s="97"/>
      <c r="D979" s="97"/>
      <c r="E979" s="97"/>
      <c r="F979" s="97"/>
      <c r="G979" s="98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97"/>
      <c r="AX979" s="97"/>
      <c r="AY979" s="97"/>
      <c r="AZ979" s="97"/>
      <c r="BA979" s="97"/>
      <c r="BB979" s="97"/>
    </row>
    <row r="980">
      <c r="A980" s="97"/>
      <c r="B980" s="97"/>
      <c r="C980" s="97"/>
      <c r="D980" s="97"/>
      <c r="E980" s="97"/>
      <c r="F980" s="97"/>
      <c r="G980" s="98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97"/>
      <c r="AX980" s="97"/>
      <c r="AY980" s="97"/>
      <c r="AZ980" s="97"/>
      <c r="BA980" s="97"/>
      <c r="BB980" s="97"/>
    </row>
    <row r="981">
      <c r="A981" s="97"/>
      <c r="B981" s="97"/>
      <c r="C981" s="97"/>
      <c r="D981" s="97"/>
      <c r="E981" s="97"/>
      <c r="F981" s="97"/>
      <c r="G981" s="98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97"/>
      <c r="AX981" s="97"/>
      <c r="AY981" s="97"/>
      <c r="AZ981" s="97"/>
      <c r="BA981" s="97"/>
      <c r="BB981" s="97"/>
    </row>
    <row r="982">
      <c r="A982" s="97"/>
      <c r="B982" s="97"/>
      <c r="C982" s="97"/>
      <c r="D982" s="97"/>
      <c r="E982" s="97"/>
      <c r="F982" s="97"/>
      <c r="G982" s="98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97"/>
      <c r="AX982" s="97"/>
      <c r="AY982" s="97"/>
      <c r="AZ982" s="97"/>
      <c r="BA982" s="97"/>
      <c r="BB982" s="97"/>
    </row>
    <row r="983">
      <c r="A983" s="97"/>
      <c r="B983" s="97"/>
      <c r="C983" s="97"/>
      <c r="D983" s="97"/>
      <c r="E983" s="97"/>
      <c r="F983" s="97"/>
      <c r="G983" s="98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97"/>
      <c r="AX983" s="97"/>
      <c r="AY983" s="97"/>
      <c r="AZ983" s="97"/>
      <c r="BA983" s="97"/>
      <c r="BB983" s="97"/>
    </row>
    <row r="984">
      <c r="A984" s="97"/>
      <c r="B984" s="97"/>
      <c r="C984" s="97"/>
      <c r="D984" s="97"/>
      <c r="E984" s="97"/>
      <c r="F984" s="97"/>
      <c r="G984" s="98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</row>
    <row r="985">
      <c r="A985" s="97"/>
      <c r="B985" s="97"/>
      <c r="C985" s="97"/>
      <c r="D985" s="97"/>
      <c r="E985" s="97"/>
      <c r="F985" s="97"/>
      <c r="G985" s="98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97"/>
      <c r="AX985" s="97"/>
      <c r="AY985" s="97"/>
      <c r="AZ985" s="97"/>
      <c r="BA985" s="97"/>
      <c r="BB985" s="97"/>
    </row>
    <row r="986">
      <c r="A986" s="97"/>
      <c r="B986" s="97"/>
      <c r="C986" s="97"/>
      <c r="D986" s="97"/>
      <c r="E986" s="97"/>
      <c r="F986" s="97"/>
      <c r="G986" s="98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97"/>
      <c r="AX986" s="97"/>
      <c r="AY986" s="97"/>
      <c r="AZ986" s="97"/>
      <c r="BA986" s="97"/>
      <c r="BB986" s="97"/>
    </row>
    <row r="987">
      <c r="A987" s="97"/>
      <c r="B987" s="97"/>
      <c r="C987" s="97"/>
      <c r="D987" s="97"/>
      <c r="E987" s="97"/>
      <c r="F987" s="97"/>
      <c r="G987" s="98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97"/>
      <c r="AX987" s="97"/>
      <c r="AY987" s="97"/>
      <c r="AZ987" s="97"/>
      <c r="BA987" s="97"/>
      <c r="BB987" s="97"/>
    </row>
    <row r="988">
      <c r="A988" s="97"/>
      <c r="B988" s="97"/>
      <c r="C988" s="97"/>
      <c r="D988" s="97"/>
      <c r="E988" s="97"/>
      <c r="F988" s="97"/>
      <c r="G988" s="98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97"/>
      <c r="AX988" s="97"/>
      <c r="AY988" s="97"/>
      <c r="AZ988" s="97"/>
      <c r="BA988" s="97"/>
      <c r="BB988" s="97"/>
    </row>
    <row r="989">
      <c r="A989" s="97"/>
      <c r="B989" s="97"/>
      <c r="C989" s="97"/>
      <c r="D989" s="97"/>
      <c r="E989" s="97"/>
      <c r="F989" s="97"/>
      <c r="G989" s="98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</row>
    <row r="990">
      <c r="A990" s="97"/>
      <c r="B990" s="97"/>
      <c r="C990" s="97"/>
      <c r="D990" s="97"/>
      <c r="E990" s="97"/>
      <c r="F990" s="97"/>
      <c r="G990" s="98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97"/>
      <c r="AX990" s="97"/>
      <c r="AY990" s="97"/>
      <c r="AZ990" s="97"/>
      <c r="BA990" s="97"/>
      <c r="BB990" s="97"/>
    </row>
    <row r="991">
      <c r="A991" s="97"/>
      <c r="B991" s="97"/>
      <c r="C991" s="97"/>
      <c r="D991" s="97"/>
      <c r="E991" s="97"/>
      <c r="F991" s="97"/>
      <c r="G991" s="98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97"/>
      <c r="AX991" s="97"/>
      <c r="AY991" s="97"/>
      <c r="AZ991" s="97"/>
      <c r="BA991" s="97"/>
      <c r="BB991" s="97"/>
    </row>
    <row r="992">
      <c r="A992" s="97"/>
      <c r="B992" s="97"/>
      <c r="C992" s="97"/>
      <c r="D992" s="97"/>
      <c r="E992" s="97"/>
      <c r="F992" s="97"/>
      <c r="G992" s="98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97"/>
      <c r="AX992" s="97"/>
      <c r="AY992" s="97"/>
      <c r="AZ992" s="97"/>
      <c r="BA992" s="97"/>
      <c r="BB992" s="97"/>
    </row>
    <row r="993">
      <c r="A993" s="97"/>
      <c r="B993" s="97"/>
      <c r="C993" s="97"/>
      <c r="D993" s="97"/>
      <c r="E993" s="97"/>
      <c r="F993" s="97"/>
      <c r="G993" s="98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97"/>
      <c r="AX993" s="97"/>
      <c r="AY993" s="97"/>
      <c r="AZ993" s="97"/>
      <c r="BA993" s="97"/>
      <c r="BB993" s="97"/>
    </row>
    <row r="994">
      <c r="A994" s="97"/>
      <c r="B994" s="97"/>
      <c r="C994" s="97"/>
      <c r="D994" s="97"/>
      <c r="E994" s="97"/>
      <c r="F994" s="97"/>
      <c r="G994" s="98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97"/>
      <c r="AX994" s="97"/>
      <c r="AY994" s="97"/>
      <c r="AZ994" s="97"/>
      <c r="BA994" s="97"/>
      <c r="BB994" s="97"/>
    </row>
    <row r="995">
      <c r="A995" s="97"/>
      <c r="B995" s="97"/>
      <c r="C995" s="97"/>
      <c r="D995" s="97"/>
      <c r="E995" s="97"/>
      <c r="F995" s="97"/>
      <c r="G995" s="98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97"/>
      <c r="AX995" s="97"/>
      <c r="AY995" s="97"/>
      <c r="AZ995" s="97"/>
      <c r="BA995" s="97"/>
      <c r="BB995" s="97"/>
    </row>
    <row r="996">
      <c r="A996" s="97"/>
      <c r="B996" s="97"/>
      <c r="C996" s="97"/>
      <c r="D996" s="97"/>
      <c r="E996" s="97"/>
      <c r="F996" s="97"/>
      <c r="G996" s="98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7"/>
      <c r="AV996" s="97"/>
      <c r="AW996" s="97"/>
      <c r="AX996" s="97"/>
      <c r="AY996" s="97"/>
      <c r="AZ996" s="97"/>
      <c r="BA996" s="97"/>
      <c r="BB996" s="97"/>
    </row>
    <row r="997">
      <c r="A997" s="97"/>
      <c r="B997" s="97"/>
      <c r="C997" s="97"/>
      <c r="D997" s="97"/>
      <c r="E997" s="97"/>
      <c r="F997" s="97"/>
      <c r="G997" s="98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7"/>
      <c r="AV997" s="97"/>
      <c r="AW997" s="97"/>
      <c r="AX997" s="97"/>
      <c r="AY997" s="97"/>
      <c r="AZ997" s="97"/>
      <c r="BA997" s="97"/>
      <c r="BB997" s="97"/>
    </row>
    <row r="998">
      <c r="A998" s="97"/>
      <c r="B998" s="97"/>
      <c r="C998" s="97"/>
      <c r="D998" s="97"/>
      <c r="E998" s="97"/>
      <c r="F998" s="97"/>
      <c r="G998" s="98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7"/>
      <c r="AV998" s="97"/>
      <c r="AW998" s="97"/>
      <c r="AX998" s="97"/>
      <c r="AY998" s="97"/>
      <c r="AZ998" s="97"/>
      <c r="BA998" s="97"/>
      <c r="BB998" s="97"/>
    </row>
    <row r="999">
      <c r="A999" s="97"/>
      <c r="B999" s="97"/>
      <c r="C999" s="97"/>
      <c r="D999" s="97"/>
      <c r="E999" s="97"/>
      <c r="F999" s="97"/>
      <c r="G999" s="98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7"/>
      <c r="AV999" s="97"/>
      <c r="AW999" s="97"/>
      <c r="AX999" s="97"/>
      <c r="AY999" s="97"/>
      <c r="AZ999" s="97"/>
      <c r="BA999" s="97"/>
      <c r="BB999" s="97"/>
    </row>
    <row r="1000">
      <c r="A1000" s="97"/>
      <c r="B1000" s="97"/>
      <c r="C1000" s="97"/>
      <c r="D1000" s="97"/>
      <c r="E1000" s="97"/>
      <c r="F1000" s="97"/>
      <c r="G1000" s="98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7"/>
      <c r="AV1000" s="97"/>
      <c r="AW1000" s="97"/>
      <c r="AX1000" s="97"/>
      <c r="AY1000" s="97"/>
      <c r="AZ1000" s="97"/>
      <c r="BA1000" s="97"/>
      <c r="BB1000" s="97"/>
    </row>
  </sheetData>
  <mergeCells count="3">
    <mergeCell ref="A1:H1"/>
    <mergeCell ref="A2:H2"/>
    <mergeCell ref="A3:H3"/>
  </mergeCells>
  <conditionalFormatting sqref="A6:AR102">
    <cfRule type="containsText" dxfId="0" priority="1" operator="containsText" text="Cancelled">
      <formula>NOT(ISERROR(SEARCH(("Cancelled"),(A6))))</formula>
    </cfRule>
  </conditionalFormatting>
  <hyperlinks>
    <hyperlink r:id="rId1" ref="A4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75"/>
  </cols>
  <sheetData>
    <row r="1">
      <c r="A1" s="52" t="str">
        <f>IFERROR(__xludf.DUMMYFUNCTION("IMPORTRANGE(""1K-FGL8dClwiB4jfT-PlkdyPkQSjOgKYp2-tQOG31ccA"",""Booking Master Sheet!A1:E"")"),"")</f>
        <v/>
      </c>
      <c r="B1" s="52"/>
      <c r="C1" s="52"/>
      <c r="D1" s="52"/>
      <c r="E1" s="52"/>
    </row>
    <row r="2">
      <c r="A2" s="99" t="str">
        <f>IFERROR(__xludf.DUMMYFUNCTION("""COMPUTED_VALUE"""),"Sr.")</f>
        <v>Sr.</v>
      </c>
      <c r="B2" s="99" t="str">
        <f>IFERROR(__xludf.DUMMYFUNCTION("""COMPUTED_VALUE"""),"Crop")</f>
        <v>Crop</v>
      </c>
      <c r="C2" s="99" t="str">
        <f>IFERROR(__xludf.DUMMYFUNCTION("""COMPUTED_VALUE"""),"Variety")</f>
        <v>Variety</v>
      </c>
      <c r="D2" s="99" t="str">
        <f>IFERROR(__xludf.DUMMYFUNCTION("""COMPUTED_VALUE"""),"Total Plants Booked")</f>
        <v>Total Plants Booked</v>
      </c>
      <c r="E2" s="52"/>
    </row>
    <row r="3">
      <c r="A3" s="100">
        <f>IFERROR(__xludf.DUMMYFUNCTION("""COMPUTED_VALUE"""),1.0)</f>
        <v>1</v>
      </c>
      <c r="B3" s="100" t="str">
        <f>IFERROR(__xludf.DUMMYFUNCTION("""COMPUTED_VALUE"""),"Almond")</f>
        <v>Almond</v>
      </c>
      <c r="C3" s="100" t="str">
        <f>IFERROR(__xludf.DUMMYFUNCTION("""COMPUTED_VALUE"""),"VNR 141")</f>
        <v>VNR 141</v>
      </c>
      <c r="D3" s="100">
        <f>IFERROR(__xludf.DUMMYFUNCTION("""COMPUTED_VALUE"""),18.0)</f>
        <v>18</v>
      </c>
      <c r="E3" s="52"/>
    </row>
    <row r="4">
      <c r="A4" s="100">
        <f>IFERROR(__xludf.DUMMYFUNCTION("""COMPUTED_VALUE"""),2.0)</f>
        <v>2</v>
      </c>
      <c r="B4" s="100" t="str">
        <f>IFERROR(__xludf.DUMMYFUNCTION("""COMPUTED_VALUE"""),"Aonla")</f>
        <v>Aonla</v>
      </c>
      <c r="C4" s="100" t="str">
        <f>IFERROR(__xludf.DUMMYFUNCTION("""COMPUTED_VALUE"""),"Krishna")</f>
        <v>Krishna</v>
      </c>
      <c r="D4" s="100">
        <f>IFERROR(__xludf.DUMMYFUNCTION("""COMPUTED_VALUE"""),74.0)</f>
        <v>74</v>
      </c>
      <c r="E4" s="52"/>
    </row>
    <row r="5">
      <c r="A5" s="100">
        <f>IFERROR(__xludf.DUMMYFUNCTION("""COMPUTED_VALUE"""),3.0)</f>
        <v>3</v>
      </c>
      <c r="B5" s="101" t="str">
        <f>IFERROR(__xludf.DUMMYFUNCTION("""COMPUTED_VALUE"""),"Bael")</f>
        <v>Bael</v>
      </c>
      <c r="C5" s="100" t="str">
        <f>IFERROR(__xludf.DUMMYFUNCTION("""COMPUTED_VALUE"""),"B-1 CISH")</f>
        <v>B-1 CISH</v>
      </c>
      <c r="D5" s="100">
        <f>IFERROR(__xludf.DUMMYFUNCTION("""COMPUTED_VALUE"""),0.0)</f>
        <v>0</v>
      </c>
      <c r="E5" s="52"/>
    </row>
    <row r="6">
      <c r="A6" s="100">
        <f>IFERROR(__xludf.DUMMYFUNCTION("""COMPUTED_VALUE"""),4.0)</f>
        <v>4</v>
      </c>
      <c r="B6" s="101" t="str">
        <f>IFERROR(__xludf.DUMMYFUNCTION("""COMPUTED_VALUE"""),"Bael")</f>
        <v>Bael</v>
      </c>
      <c r="C6" s="100" t="str">
        <f>IFERROR(__xludf.DUMMYFUNCTION("""COMPUTED_VALUE"""),"Gomayashi")</f>
        <v>Gomayashi</v>
      </c>
      <c r="D6" s="100">
        <f>IFERROR(__xludf.DUMMYFUNCTION("""COMPUTED_VALUE"""),162.0)</f>
        <v>162</v>
      </c>
      <c r="E6" s="52"/>
    </row>
    <row r="7">
      <c r="A7" s="100">
        <f>IFERROR(__xludf.DUMMYFUNCTION("""COMPUTED_VALUE"""),5.0)</f>
        <v>5</v>
      </c>
      <c r="B7" s="101" t="str">
        <f>IFERROR(__xludf.DUMMYFUNCTION("""COMPUTED_VALUE"""),"Bael")</f>
        <v>Bael</v>
      </c>
      <c r="C7" s="100" t="str">
        <f>IFERROR(__xludf.DUMMYFUNCTION("""COMPUTED_VALUE"""),"NB-7")</f>
        <v>NB-7</v>
      </c>
      <c r="D7" s="100">
        <f>IFERROR(__xludf.DUMMYFUNCTION("""COMPUTED_VALUE"""),0.0)</f>
        <v>0</v>
      </c>
      <c r="E7" s="52"/>
    </row>
    <row r="8">
      <c r="A8" s="100">
        <f>IFERROR(__xludf.DUMMYFUNCTION("""COMPUTED_VALUE"""),6.0)</f>
        <v>6</v>
      </c>
      <c r="B8" s="101" t="str">
        <f>IFERROR(__xludf.DUMMYFUNCTION("""COMPUTED_VALUE"""),"Bael")</f>
        <v>Bael</v>
      </c>
      <c r="C8" s="100" t="str">
        <f>IFERROR(__xludf.DUMMYFUNCTION("""COMPUTED_VALUE"""),"NB-9")</f>
        <v>NB-9</v>
      </c>
      <c r="D8" s="100">
        <f>IFERROR(__xludf.DUMMYFUNCTION("""COMPUTED_VALUE"""),0.0)</f>
        <v>0</v>
      </c>
      <c r="E8" s="52"/>
    </row>
    <row r="9">
      <c r="A9" s="100">
        <f>IFERROR(__xludf.DUMMYFUNCTION("""COMPUTED_VALUE"""),7.0)</f>
        <v>7</v>
      </c>
      <c r="B9" s="101" t="str">
        <f>IFERROR(__xludf.DUMMYFUNCTION("""COMPUTED_VALUE"""),"Ber")</f>
        <v>Ber</v>
      </c>
      <c r="C9" s="100" t="str">
        <f>IFERROR(__xludf.DUMMYFUNCTION("""COMPUTED_VALUE"""),"Apple")</f>
        <v>Apple</v>
      </c>
      <c r="D9" s="100">
        <f>IFERROR(__xludf.DUMMYFUNCTION("""COMPUTED_VALUE"""),1036.0)</f>
        <v>1036</v>
      </c>
      <c r="E9" s="52"/>
    </row>
    <row r="10">
      <c r="A10" s="100">
        <f>IFERROR(__xludf.DUMMYFUNCTION("""COMPUTED_VALUE"""),8.0)</f>
        <v>8</v>
      </c>
      <c r="B10" s="101" t="str">
        <f>IFERROR(__xludf.DUMMYFUNCTION("""COMPUTED_VALUE"""),"Curry Leaf")</f>
        <v>Curry Leaf</v>
      </c>
      <c r="C10" s="100" t="str">
        <f>IFERROR(__xludf.DUMMYFUNCTION("""COMPUTED_VALUE"""),"DWD-2")</f>
        <v>DWD-2</v>
      </c>
      <c r="D10" s="100">
        <f>IFERROR(__xludf.DUMMYFUNCTION("""COMPUTED_VALUE"""),1.0)</f>
        <v>1</v>
      </c>
      <c r="E10" s="52"/>
    </row>
    <row r="11">
      <c r="A11" s="100">
        <f>IFERROR(__xludf.DUMMYFUNCTION("""COMPUTED_VALUE"""),9.0)</f>
        <v>9</v>
      </c>
      <c r="B11" s="101" t="str">
        <f>IFERROR(__xludf.DUMMYFUNCTION("""COMPUTED_VALUE"""),"Dragon Fruit")</f>
        <v>Dragon Fruit</v>
      </c>
      <c r="C11" s="100" t="str">
        <f>IFERROR(__xludf.DUMMYFUNCTION("""COMPUTED_VALUE"""),"Red")</f>
        <v>Red</v>
      </c>
      <c r="D11" s="100">
        <f>IFERROR(__xludf.DUMMYFUNCTION("""COMPUTED_VALUE"""),25.0)</f>
        <v>25</v>
      </c>
      <c r="E11" s="52"/>
    </row>
    <row r="12">
      <c r="A12" s="100">
        <f>IFERROR(__xludf.DUMMYFUNCTION("""COMPUTED_VALUE"""),10.0)</f>
        <v>10</v>
      </c>
      <c r="B12" s="101" t="str">
        <f>IFERROR(__xludf.DUMMYFUNCTION("""COMPUTED_VALUE"""),"Dragon Fruit")</f>
        <v>Dragon Fruit</v>
      </c>
      <c r="C12" s="100" t="str">
        <f>IFERROR(__xludf.DUMMYFUNCTION("""COMPUTED_VALUE"""),"White")</f>
        <v>White</v>
      </c>
      <c r="D12" s="100">
        <f>IFERROR(__xludf.DUMMYFUNCTION("""COMPUTED_VALUE"""),0.0)</f>
        <v>0</v>
      </c>
      <c r="E12" s="52"/>
    </row>
    <row r="13">
      <c r="A13" s="100">
        <f>IFERROR(__xludf.DUMMYFUNCTION("""COMPUTED_VALUE"""),11.0)</f>
        <v>11</v>
      </c>
      <c r="B13" s="100" t="str">
        <f>IFERROR(__xludf.DUMMYFUNCTION("""COMPUTED_VALUE"""),"Drum Stick")</f>
        <v>Drum Stick</v>
      </c>
      <c r="C13" s="100" t="str">
        <f>IFERROR(__xludf.DUMMYFUNCTION("""COMPUTED_VALUE"""),"VNR Moringa")</f>
        <v>VNR Moringa</v>
      </c>
      <c r="D13" s="100">
        <f>IFERROR(__xludf.DUMMYFUNCTION("""COMPUTED_VALUE"""),0.0)</f>
        <v>0</v>
      </c>
      <c r="E13" s="52"/>
    </row>
    <row r="14">
      <c r="A14" s="100">
        <f>IFERROR(__xludf.DUMMYFUNCTION("""COMPUTED_VALUE"""),12.0)</f>
        <v>12</v>
      </c>
      <c r="B14" s="101" t="str">
        <f>IFERROR(__xludf.DUMMYFUNCTION("""COMPUTED_VALUE"""),"Fig")</f>
        <v>Fig</v>
      </c>
      <c r="C14" s="100" t="str">
        <f>IFERROR(__xludf.DUMMYFUNCTION("""COMPUTED_VALUE"""),"Deanna")</f>
        <v>Deanna</v>
      </c>
      <c r="D14" s="100">
        <f>IFERROR(__xludf.DUMMYFUNCTION("""COMPUTED_VALUE"""),225.0)</f>
        <v>225</v>
      </c>
      <c r="E14" s="52"/>
    </row>
    <row r="15">
      <c r="A15" s="100">
        <f>IFERROR(__xludf.DUMMYFUNCTION("""COMPUTED_VALUE"""),13.0)</f>
        <v>13</v>
      </c>
      <c r="B15" s="101" t="str">
        <f>IFERROR(__xludf.DUMMYFUNCTION("""COMPUTED_VALUE"""),"Fig")</f>
        <v>Fig</v>
      </c>
      <c r="C15" s="100" t="str">
        <f>IFERROR(__xludf.DUMMYFUNCTION("""COMPUTED_VALUE"""),"Excel")</f>
        <v>Excel</v>
      </c>
      <c r="D15" s="100">
        <f>IFERROR(__xludf.DUMMYFUNCTION("""COMPUTED_VALUE"""),74.0)</f>
        <v>74</v>
      </c>
      <c r="E15" s="52"/>
    </row>
    <row r="16">
      <c r="A16" s="100">
        <f>IFERROR(__xludf.DUMMYFUNCTION("""COMPUTED_VALUE"""),14.0)</f>
        <v>14</v>
      </c>
      <c r="B16" s="101" t="str">
        <f>IFERROR(__xludf.DUMMYFUNCTION("""COMPUTED_VALUE"""),"Fig")</f>
        <v>Fig</v>
      </c>
      <c r="C16" s="100" t="str">
        <f>IFERROR(__xludf.DUMMYFUNCTION("""COMPUTED_VALUE"""),"Daulatabad")</f>
        <v>Daulatabad</v>
      </c>
      <c r="D16" s="100">
        <f>IFERROR(__xludf.DUMMYFUNCTION("""COMPUTED_VALUE"""),22.0)</f>
        <v>22</v>
      </c>
      <c r="E16" s="52"/>
    </row>
    <row r="17">
      <c r="A17" s="100">
        <f>IFERROR(__xludf.DUMMYFUNCTION("""COMPUTED_VALUE"""),15.0)</f>
        <v>15</v>
      </c>
      <c r="B17" s="101" t="str">
        <f>IFERROR(__xludf.DUMMYFUNCTION("""COMPUTED_VALUE"""),"Grapefruit")</f>
        <v>Grapefruit</v>
      </c>
      <c r="C17" s="100" t="str">
        <f>IFERROR(__xludf.DUMMYFUNCTION("""COMPUTED_VALUE"""),"VNR Lali")</f>
        <v>VNR Lali</v>
      </c>
      <c r="D17" s="100">
        <f>IFERROR(__xludf.DUMMYFUNCTION("""COMPUTED_VALUE"""),6.0)</f>
        <v>6</v>
      </c>
      <c r="E17" s="52"/>
    </row>
    <row r="18">
      <c r="A18" s="100">
        <f>IFERROR(__xludf.DUMMYFUNCTION("""COMPUTED_VALUE"""),16.0)</f>
        <v>16</v>
      </c>
      <c r="B18" s="101" t="str">
        <f>IFERROR(__xludf.DUMMYFUNCTION("""COMPUTED_VALUE"""),"Guava")</f>
        <v>Guava</v>
      </c>
      <c r="C18" s="100" t="str">
        <f>IFERROR(__xludf.DUMMYFUNCTION("""COMPUTED_VALUE"""),"VNR Bihi")</f>
        <v>VNR Bihi</v>
      </c>
      <c r="D18" s="100"/>
      <c r="E18" s="52"/>
    </row>
    <row r="19">
      <c r="A19" s="100">
        <f>IFERROR(__xludf.DUMMYFUNCTION("""COMPUTED_VALUE"""),18.0)</f>
        <v>18</v>
      </c>
      <c r="B19" s="101" t="str">
        <f>IFERROR(__xludf.DUMMYFUNCTION("""COMPUTED_VALUE"""),"Guava")</f>
        <v>Guava</v>
      </c>
      <c r="C19" s="100" t="str">
        <f>IFERROR(__xludf.DUMMYFUNCTION("""COMPUTED_VALUE"""),"VNR Carmine")</f>
        <v>VNR Carmine</v>
      </c>
      <c r="D19" s="100"/>
      <c r="E19" s="52"/>
    </row>
    <row r="20">
      <c r="A20" s="100">
        <f>IFERROR(__xludf.DUMMYFUNCTION("""COMPUTED_VALUE"""),22.0)</f>
        <v>22</v>
      </c>
      <c r="B20" s="101" t="str">
        <f>IFERROR(__xludf.DUMMYFUNCTION("""COMPUTED_VALUE"""),"Jackfruit")</f>
        <v>Jackfruit</v>
      </c>
      <c r="C20" s="100" t="str">
        <f>IFERROR(__xludf.DUMMYFUNCTION("""COMPUTED_VALUE"""),"VNR - 1")</f>
        <v>VNR - 1</v>
      </c>
      <c r="D20" s="100">
        <f>IFERROR(__xludf.DUMMYFUNCTION("""COMPUTED_VALUE"""),330.0)</f>
        <v>330</v>
      </c>
      <c r="E20" s="52"/>
    </row>
    <row r="21">
      <c r="A21" s="100">
        <f>IFERROR(__xludf.DUMMYFUNCTION("""COMPUTED_VALUE"""),24.0)</f>
        <v>24</v>
      </c>
      <c r="B21" s="101" t="str">
        <f>IFERROR(__xludf.DUMMYFUNCTION("""COMPUTED_VALUE"""),"Jamun")</f>
        <v>Jamun</v>
      </c>
      <c r="C21" s="100" t="str">
        <f>IFERROR(__xludf.DUMMYFUNCTION("""COMPUTED_VALUE"""),"Gomapriyanka")</f>
        <v>Gomapriyanka</v>
      </c>
      <c r="D21" s="100">
        <f>IFERROR(__xludf.DUMMYFUNCTION("""COMPUTED_VALUE"""),187.0)</f>
        <v>187</v>
      </c>
      <c r="E21" s="52"/>
    </row>
    <row r="22">
      <c r="A22" s="100">
        <f>IFERROR(__xludf.DUMMYFUNCTION("""COMPUTED_VALUE"""),25.0)</f>
        <v>25</v>
      </c>
      <c r="B22" s="101" t="str">
        <f>IFERROR(__xludf.DUMMYFUNCTION("""COMPUTED_VALUE"""),"Jamun")</f>
        <v>Jamun</v>
      </c>
      <c r="C22" s="100" t="str">
        <f>IFERROR(__xludf.DUMMYFUNCTION("""COMPUTED_VALUE"""),"Bahadoli")</f>
        <v>Bahadoli</v>
      </c>
      <c r="D22" s="100"/>
      <c r="E22" s="52"/>
    </row>
    <row r="23">
      <c r="A23" s="100">
        <f>IFERROR(__xludf.DUMMYFUNCTION("""COMPUTED_VALUE"""),26.0)</f>
        <v>26</v>
      </c>
      <c r="B23" s="100" t="str">
        <f>IFERROR(__xludf.DUMMYFUNCTION("""COMPUTED_VALUE"""),"Kamrakh")</f>
        <v>Kamrakh</v>
      </c>
      <c r="C23" s="100" t="str">
        <f>IFERROR(__xludf.DUMMYFUNCTION("""COMPUTED_VALUE"""),"VNR Naval")</f>
        <v>VNR Naval</v>
      </c>
      <c r="D23" s="100">
        <f>IFERROR(__xludf.DUMMYFUNCTION("""COMPUTED_VALUE"""),26.0)</f>
        <v>26</v>
      </c>
      <c r="E23" s="52"/>
    </row>
    <row r="24">
      <c r="A24" s="100">
        <f>IFERROR(__xludf.DUMMYFUNCTION("""COMPUTED_VALUE"""),27.0)</f>
        <v>27</v>
      </c>
      <c r="B24" s="100" t="str">
        <f>IFERROR(__xludf.DUMMYFUNCTION("""COMPUTED_VALUE"""),"Kamrakh")</f>
        <v>Kamrakh</v>
      </c>
      <c r="C24" s="100" t="str">
        <f>IFERROR(__xludf.DUMMYFUNCTION("""COMPUTED_VALUE"""),"Chakulia")</f>
        <v>Chakulia</v>
      </c>
      <c r="D24" s="100"/>
      <c r="E24" s="52"/>
    </row>
    <row r="25">
      <c r="A25" s="100">
        <f>IFERROR(__xludf.DUMMYFUNCTION("""COMPUTED_VALUE"""),28.0)</f>
        <v>28</v>
      </c>
      <c r="B25" s="101" t="str">
        <f>IFERROR(__xludf.DUMMYFUNCTION("""COMPUTED_VALUE"""),"Karonda")</f>
        <v>Karonda</v>
      </c>
      <c r="C25" s="100" t="str">
        <f>IFERROR(__xludf.DUMMYFUNCTION("""COMPUTED_VALUE"""),"VNR - 1")</f>
        <v>VNR - 1</v>
      </c>
      <c r="D25" s="100">
        <f>IFERROR(__xludf.DUMMYFUNCTION("""COMPUTED_VALUE"""),107.0)</f>
        <v>107</v>
      </c>
      <c r="E25" s="52"/>
    </row>
    <row r="26">
      <c r="A26" s="100">
        <f>IFERROR(__xludf.DUMMYFUNCTION("""COMPUTED_VALUE"""),29.0)</f>
        <v>29</v>
      </c>
      <c r="B26" s="100" t="str">
        <f>IFERROR(__xludf.DUMMYFUNCTION("""COMPUTED_VALUE"""),"Karonda")</f>
        <v>Karonda</v>
      </c>
      <c r="C26" s="100" t="str">
        <f>IFERROR(__xludf.DUMMYFUNCTION("""COMPUTED_VALUE"""),"Americana")</f>
        <v>Americana</v>
      </c>
      <c r="D26" s="100">
        <f>IFERROR(__xludf.DUMMYFUNCTION("""COMPUTED_VALUE"""),1205.0)</f>
        <v>1205</v>
      </c>
      <c r="E26" s="52"/>
    </row>
    <row r="27">
      <c r="A27" s="100">
        <f>IFERROR(__xludf.DUMMYFUNCTION("""COMPUTED_VALUE"""),30.0)</f>
        <v>30</v>
      </c>
      <c r="B27" s="101" t="str">
        <f>IFERROR(__xludf.DUMMYFUNCTION("""COMPUTED_VALUE"""),"Kinnow")</f>
        <v>Kinnow</v>
      </c>
      <c r="C27" s="100" t="str">
        <f>IFERROR(__xludf.DUMMYFUNCTION("""COMPUTED_VALUE"""),"Mandarin")</f>
        <v>Mandarin</v>
      </c>
      <c r="D27" s="100"/>
      <c r="E27" s="52"/>
    </row>
    <row r="28">
      <c r="A28" s="100">
        <f>IFERROR(__xludf.DUMMYFUNCTION("""COMPUTED_VALUE"""),31.0)</f>
        <v>31</v>
      </c>
      <c r="B28" s="101" t="str">
        <f>IFERROR(__xludf.DUMMYFUNCTION("""COMPUTED_VALUE"""),"Lemon")</f>
        <v>Lemon</v>
      </c>
      <c r="C28" s="100" t="str">
        <f>IFERROR(__xludf.DUMMYFUNCTION("""COMPUTED_VALUE"""),"Konkan")</f>
        <v>Konkan</v>
      </c>
      <c r="D28" s="100">
        <f>IFERROR(__xludf.DUMMYFUNCTION("""COMPUTED_VALUE"""),50.0)</f>
        <v>50</v>
      </c>
      <c r="E28" s="52"/>
    </row>
    <row r="29">
      <c r="A29" s="100">
        <f>IFERROR(__xludf.DUMMYFUNCTION("""COMPUTED_VALUE"""),32.0)</f>
        <v>32</v>
      </c>
      <c r="B29" s="101" t="str">
        <f>IFERROR(__xludf.DUMMYFUNCTION("""COMPUTED_VALUE"""),"Lemon")</f>
        <v>Lemon</v>
      </c>
      <c r="C29" s="100" t="str">
        <f>IFERROR(__xludf.DUMMYFUNCTION("""COMPUTED_VALUE"""),"VNR Sharbati")</f>
        <v>VNR Sharbati</v>
      </c>
      <c r="D29" s="100"/>
      <c r="E29" s="52"/>
    </row>
    <row r="30">
      <c r="A30" s="100">
        <f>IFERROR(__xludf.DUMMYFUNCTION("""COMPUTED_VALUE"""),33.0)</f>
        <v>33</v>
      </c>
      <c r="B30" s="100" t="str">
        <f>IFERROR(__xludf.DUMMYFUNCTION("""COMPUTED_VALUE"""),"Lemon")</f>
        <v>Lemon</v>
      </c>
      <c r="C30" s="100" t="str">
        <f>IFERROR(__xludf.DUMMYFUNCTION("""COMPUTED_VALUE"""),"VNR Mahesh")</f>
        <v>VNR Mahesh</v>
      </c>
      <c r="D30" s="100">
        <f>IFERROR(__xludf.DUMMYFUNCTION("""COMPUTED_VALUE"""),0.0)</f>
        <v>0</v>
      </c>
      <c r="E30" s="52"/>
    </row>
    <row r="31">
      <c r="A31" s="100">
        <f>IFERROR(__xludf.DUMMYFUNCTION("""COMPUTED_VALUE"""),34.0)</f>
        <v>34</v>
      </c>
      <c r="B31" s="100" t="str">
        <f>IFERROR(__xludf.DUMMYFUNCTION("""COMPUTED_VALUE"""),"Lime")</f>
        <v>Lime</v>
      </c>
      <c r="C31" s="100" t="str">
        <f>IFERROR(__xludf.DUMMYFUNCTION("""COMPUTED_VALUE"""),"VNR Parvati")</f>
        <v>VNR Parvati</v>
      </c>
      <c r="D31" s="100"/>
      <c r="E31" s="52"/>
    </row>
    <row r="32">
      <c r="A32" s="100">
        <f>IFERROR(__xludf.DUMMYFUNCTION("""COMPUTED_VALUE"""),35.0)</f>
        <v>35</v>
      </c>
      <c r="B32" s="100" t="str">
        <f>IFERROR(__xludf.DUMMYFUNCTION("""COMPUTED_VALUE"""),"Lime")</f>
        <v>Lime</v>
      </c>
      <c r="C32" s="100" t="str">
        <f>IFERROR(__xludf.DUMMYFUNCTION("""COMPUTED_VALUE"""),"Balaji")</f>
        <v>Balaji</v>
      </c>
      <c r="D32" s="100">
        <f>IFERROR(__xludf.DUMMYFUNCTION("""COMPUTED_VALUE"""),689.0)</f>
        <v>689</v>
      </c>
      <c r="E32" s="52"/>
    </row>
    <row r="33">
      <c r="A33" s="100">
        <f>IFERROR(__xludf.DUMMYFUNCTION("""COMPUTED_VALUE"""),36.0)</f>
        <v>36</v>
      </c>
      <c r="B33" s="100" t="str">
        <f>IFERROR(__xludf.DUMMYFUNCTION("""COMPUTED_VALUE"""),"Lime")</f>
        <v>Lime</v>
      </c>
      <c r="C33" s="100" t="str">
        <f>IFERROR(__xludf.DUMMYFUNCTION("""COMPUTED_VALUE"""),"VNR Rasvanti")</f>
        <v>VNR Rasvanti</v>
      </c>
      <c r="D33" s="100">
        <f>IFERROR(__xludf.DUMMYFUNCTION("""COMPUTED_VALUE"""),834.0)</f>
        <v>834</v>
      </c>
      <c r="E33" s="52"/>
    </row>
    <row r="34">
      <c r="A34" s="100">
        <f>IFERROR(__xludf.DUMMYFUNCTION("""COMPUTED_VALUE"""),37.0)</f>
        <v>37</v>
      </c>
      <c r="B34" s="100" t="str">
        <f>IFERROR(__xludf.DUMMYFUNCTION("""COMPUTED_VALUE"""),"Lime")</f>
        <v>Lime</v>
      </c>
      <c r="C34" s="100" t="str">
        <f>IFERROR(__xludf.DUMMYFUNCTION("""COMPUTED_VALUE"""),"VNR-1")</f>
        <v>VNR-1</v>
      </c>
      <c r="D34" s="100">
        <f>IFERROR(__xludf.DUMMYFUNCTION("""COMPUTED_VALUE"""),0.0)</f>
        <v>0</v>
      </c>
      <c r="E34" s="52"/>
    </row>
    <row r="35">
      <c r="A35" s="100">
        <f>IFERROR(__xludf.DUMMYFUNCTION("""COMPUTED_VALUE"""),38.0)</f>
        <v>38</v>
      </c>
      <c r="B35" s="100" t="str">
        <f>IFERROR(__xludf.DUMMYFUNCTION("""COMPUTED_VALUE"""),"Lime")</f>
        <v>Lime</v>
      </c>
      <c r="C35" s="100" t="str">
        <f>IFERROR(__xludf.DUMMYFUNCTION("""COMPUTED_VALUE"""),"VNR Sameer")</f>
        <v>VNR Sameer</v>
      </c>
      <c r="D35" s="100"/>
      <c r="E35" s="52"/>
    </row>
    <row r="36">
      <c r="A36" s="100">
        <f>IFERROR(__xludf.DUMMYFUNCTION("""COMPUTED_VALUE"""),39.0)</f>
        <v>39</v>
      </c>
      <c r="B36" s="101" t="str">
        <f>IFERROR(__xludf.DUMMYFUNCTION("""COMPUTED_VALUE"""),"Mosambi")</f>
        <v>Mosambi</v>
      </c>
      <c r="C36" s="100" t="str">
        <f>IFERROR(__xludf.DUMMYFUNCTION("""COMPUTED_VALUE"""),"Katol Gold")</f>
        <v>Katol Gold</v>
      </c>
      <c r="D36" s="100"/>
      <c r="E36" s="52"/>
    </row>
    <row r="37">
      <c r="A37" s="100">
        <f>IFERROR(__xludf.DUMMYFUNCTION("""COMPUTED_VALUE"""),40.0)</f>
        <v>40</v>
      </c>
      <c r="B37" s="101" t="str">
        <f>IFERROR(__xludf.DUMMYFUNCTION("""COMPUTED_VALUE"""),"Mosambi")</f>
        <v>Mosambi</v>
      </c>
      <c r="C37" s="100" t="str">
        <f>IFERROR(__xludf.DUMMYFUNCTION("""COMPUTED_VALUE"""),"Nucellar")</f>
        <v>Nucellar</v>
      </c>
      <c r="D37" s="100">
        <f>IFERROR(__xludf.DUMMYFUNCTION("""COMPUTED_VALUE"""),3080.0)</f>
        <v>3080</v>
      </c>
      <c r="E37" s="52"/>
    </row>
    <row r="38">
      <c r="A38" s="100">
        <f>IFERROR(__xludf.DUMMYFUNCTION("""COMPUTED_VALUE"""),41.0)</f>
        <v>41</v>
      </c>
      <c r="B38" s="101" t="str">
        <f>IFERROR(__xludf.DUMMYFUNCTION("""COMPUTED_VALUE"""),"Mulberry")</f>
        <v>Mulberry</v>
      </c>
      <c r="C38" s="100" t="str">
        <f>IFERROR(__xludf.DUMMYFUNCTION("""COMPUTED_VALUE"""),"Long Purple")</f>
        <v>Long Purple</v>
      </c>
      <c r="D38" s="100">
        <f>IFERROR(__xludf.DUMMYFUNCTION("""COMPUTED_VALUE"""),141.0)</f>
        <v>141</v>
      </c>
      <c r="E38" s="52"/>
    </row>
    <row r="39">
      <c r="A39" s="100">
        <f>IFERROR(__xludf.DUMMYFUNCTION("""COMPUTED_VALUE"""),42.0)</f>
        <v>42</v>
      </c>
      <c r="B39" s="101" t="str">
        <f>IFERROR(__xludf.DUMMYFUNCTION("""COMPUTED_VALUE"""),"Pumello")</f>
        <v>Pumello</v>
      </c>
      <c r="C39" s="100" t="str">
        <f>IFERROR(__xludf.DUMMYFUNCTION("""COMPUTED_VALUE"""),"VNR Crystal")</f>
        <v>VNR Crystal</v>
      </c>
      <c r="D39" s="100">
        <f>IFERROR(__xludf.DUMMYFUNCTION("""COMPUTED_VALUE"""),24.0)</f>
        <v>24</v>
      </c>
      <c r="E39" s="52"/>
    </row>
    <row r="40">
      <c r="A40" s="100">
        <f>IFERROR(__xludf.DUMMYFUNCTION("""COMPUTED_VALUE"""),43.0)</f>
        <v>43</v>
      </c>
      <c r="B40" s="101" t="str">
        <f>IFERROR(__xludf.DUMMYFUNCTION("""COMPUTED_VALUE"""),"Sitaphal")</f>
        <v>Sitaphal</v>
      </c>
      <c r="C40" s="100" t="str">
        <f>IFERROR(__xludf.DUMMYFUNCTION("""COMPUTED_VALUE"""),"VNR Madhur")</f>
        <v>VNR Madhur</v>
      </c>
      <c r="D40" s="100">
        <f>IFERROR(__xludf.DUMMYFUNCTION("""COMPUTED_VALUE"""),7300.0)</f>
        <v>7300</v>
      </c>
      <c r="E40" s="52"/>
    </row>
    <row r="41">
      <c r="A41" s="100">
        <f>IFERROR(__xludf.DUMMYFUNCTION("""COMPUTED_VALUE"""),44.0)</f>
        <v>44</v>
      </c>
      <c r="B41" s="101" t="str">
        <f>IFERROR(__xludf.DUMMYFUNCTION("""COMPUTED_VALUE"""),"Sitaphal")</f>
        <v>Sitaphal</v>
      </c>
      <c r="C41" s="100" t="str">
        <f>IFERROR(__xludf.DUMMYFUNCTION("""COMPUTED_VALUE"""),"VNR Uttam")</f>
        <v>VNR Uttam</v>
      </c>
      <c r="D41" s="100">
        <f>IFERROR(__xludf.DUMMYFUNCTION("""COMPUTED_VALUE"""),220.0)</f>
        <v>220</v>
      </c>
      <c r="E41" s="52"/>
    </row>
    <row r="42">
      <c r="A42" s="100">
        <f>IFERROR(__xludf.DUMMYFUNCTION("""COMPUTED_VALUE"""),45.0)</f>
        <v>45</v>
      </c>
      <c r="B42" s="100" t="str">
        <f>IFERROR(__xludf.DUMMYFUNCTION("""COMPUTED_VALUE"""),"Wax Apple")</f>
        <v>Wax Apple</v>
      </c>
      <c r="C42" s="100" t="str">
        <f>IFERROR(__xludf.DUMMYFUNCTION("""COMPUTED_VALUE"""),"VNR Maroon")</f>
        <v>VNR Maroon</v>
      </c>
      <c r="D42" s="100">
        <f>IFERROR(__xludf.DUMMYFUNCTION("""COMPUTED_VALUE"""),0.0)</f>
        <v>0</v>
      </c>
      <c r="E42" s="52"/>
    </row>
    <row r="43">
      <c r="A43" s="102">
        <f>IFERROR(__xludf.DUMMYFUNCTION("""COMPUTED_VALUE"""),46.0)</f>
        <v>46</v>
      </c>
      <c r="B43" s="102" t="str">
        <f>IFERROR(__xludf.DUMMYFUNCTION("""COMPUTED_VALUE"""),"JACK FRUIT")</f>
        <v>JACK FRUIT</v>
      </c>
      <c r="C43" s="102" t="str">
        <f>IFERROR(__xludf.DUMMYFUNCTION("""COMPUTED_VALUE"""),"JACK-E")</f>
        <v>JACK-E</v>
      </c>
      <c r="D43" s="102">
        <f>IFERROR(__xludf.DUMMYFUNCTION("""COMPUTED_VALUE"""),1211.0)</f>
        <v>1211</v>
      </c>
      <c r="E43" s="52"/>
    </row>
    <row r="44">
      <c r="A44" s="52">
        <f>IFERROR(__xludf.DUMMYFUNCTION("""COMPUTED_VALUE"""),47.0)</f>
        <v>47</v>
      </c>
      <c r="B44" s="52" t="str">
        <f>IFERROR(__xludf.DUMMYFUNCTION("""COMPUTED_VALUE"""),"PASSION FRUIT")</f>
        <v>PASSION FRUIT</v>
      </c>
      <c r="C44" s="52"/>
      <c r="D44" s="52">
        <f>IFERROR(__xludf.DUMMYFUNCTION("""COMPUTED_VALUE"""),0.0)</f>
        <v>0</v>
      </c>
      <c r="E44" s="52"/>
    </row>
    <row r="45">
      <c r="A45" s="52"/>
      <c r="B45" s="52"/>
      <c r="C45" s="52"/>
      <c r="D45" s="52"/>
      <c r="E45" s="52"/>
    </row>
    <row r="46">
      <c r="A46" s="52"/>
      <c r="B46" s="52"/>
      <c r="C46" s="52"/>
      <c r="D46" s="52"/>
      <c r="E46" s="52"/>
    </row>
    <row r="47">
      <c r="A47" s="52"/>
      <c r="B47" s="52"/>
      <c r="C47" s="52"/>
      <c r="D47" s="52"/>
      <c r="E47" s="52"/>
    </row>
    <row r="48">
      <c r="A48" s="52"/>
      <c r="B48" s="52"/>
      <c r="C48" s="52"/>
      <c r="D48" s="52"/>
      <c r="E48" s="52"/>
    </row>
    <row r="49">
      <c r="A49" s="52"/>
      <c r="B49" s="52"/>
      <c r="C49" s="52"/>
      <c r="D49" s="52"/>
      <c r="E49" s="52"/>
    </row>
    <row r="50">
      <c r="A50" s="52"/>
      <c r="B50" s="52"/>
      <c r="C50" s="52"/>
      <c r="D50" s="52"/>
      <c r="E50" s="52"/>
    </row>
    <row r="51">
      <c r="A51" s="52"/>
      <c r="B51" s="52"/>
      <c r="C51" s="52"/>
      <c r="D51" s="52"/>
      <c r="E51" s="52"/>
    </row>
    <row r="52">
      <c r="A52" s="52"/>
      <c r="B52" s="52"/>
      <c r="C52" s="52"/>
      <c r="D52" s="52"/>
      <c r="E52" s="52"/>
    </row>
    <row r="53">
      <c r="A53" s="52"/>
      <c r="B53" s="52"/>
      <c r="C53" s="52"/>
      <c r="D53" s="52"/>
      <c r="E53" s="52"/>
    </row>
    <row r="54">
      <c r="A54" s="52"/>
      <c r="B54" s="52"/>
      <c r="C54" s="52"/>
      <c r="D54" s="52"/>
      <c r="E54" s="52"/>
    </row>
    <row r="55">
      <c r="A55" s="52"/>
      <c r="B55" s="52"/>
      <c r="C55" s="52"/>
      <c r="D55" s="52"/>
      <c r="E55" s="52"/>
    </row>
    <row r="56">
      <c r="A56" s="52"/>
      <c r="B56" s="52"/>
      <c r="C56" s="52"/>
      <c r="D56" s="52"/>
      <c r="E56" s="52"/>
    </row>
    <row r="57">
      <c r="A57" s="52"/>
      <c r="B57" s="52"/>
      <c r="C57" s="52"/>
      <c r="D57" s="52"/>
      <c r="E57" s="52"/>
    </row>
    <row r="58">
      <c r="A58" s="52"/>
      <c r="B58" s="52"/>
      <c r="C58" s="52"/>
      <c r="D58" s="52"/>
      <c r="E58" s="52"/>
    </row>
    <row r="59">
      <c r="A59" s="52"/>
      <c r="B59" s="52"/>
      <c r="C59" s="52"/>
      <c r="D59" s="52"/>
      <c r="E59" s="52"/>
    </row>
    <row r="60">
      <c r="A60" s="52"/>
      <c r="B60" s="52"/>
      <c r="C60" s="52"/>
      <c r="D60" s="52"/>
      <c r="E60" s="52"/>
    </row>
    <row r="61">
      <c r="A61" s="52"/>
      <c r="B61" s="52"/>
      <c r="C61" s="52"/>
      <c r="D61" s="52"/>
      <c r="E61" s="52"/>
    </row>
    <row r="62">
      <c r="A62" s="52"/>
      <c r="B62" s="52"/>
      <c r="C62" s="52"/>
      <c r="D62" s="52"/>
      <c r="E62" s="52"/>
    </row>
    <row r="63">
      <c r="A63" s="52"/>
      <c r="B63" s="52"/>
      <c r="C63" s="52"/>
      <c r="D63" s="52"/>
      <c r="E63" s="52"/>
    </row>
    <row r="64">
      <c r="A64" s="52"/>
      <c r="B64" s="52"/>
      <c r="C64" s="52"/>
      <c r="D64" s="52"/>
      <c r="E64" s="52"/>
    </row>
    <row r="65">
      <c r="A65" s="52"/>
      <c r="B65" s="52"/>
      <c r="C65" s="52"/>
      <c r="D65" s="52"/>
      <c r="E65" s="52"/>
    </row>
    <row r="66">
      <c r="A66" s="52"/>
      <c r="B66" s="52"/>
      <c r="C66" s="52"/>
      <c r="D66" s="52"/>
      <c r="E66" s="52"/>
    </row>
    <row r="67">
      <c r="A67" s="52"/>
      <c r="B67" s="52"/>
      <c r="C67" s="52"/>
      <c r="D67" s="52"/>
      <c r="E67" s="52"/>
    </row>
    <row r="68">
      <c r="A68" s="52"/>
      <c r="B68" s="52"/>
      <c r="C68" s="52"/>
      <c r="D68" s="52"/>
      <c r="E68" s="52"/>
    </row>
    <row r="69">
      <c r="A69" s="52"/>
      <c r="B69" s="52"/>
      <c r="C69" s="52"/>
      <c r="D69" s="52"/>
      <c r="E69" s="52"/>
    </row>
    <row r="70">
      <c r="A70" s="52"/>
      <c r="B70" s="52"/>
      <c r="C70" s="52"/>
      <c r="D70" s="52"/>
      <c r="E70" s="52"/>
    </row>
    <row r="71">
      <c r="A71" s="52"/>
      <c r="B71" s="52"/>
      <c r="C71" s="52"/>
      <c r="D71" s="52"/>
      <c r="E71" s="52"/>
    </row>
    <row r="72">
      <c r="A72" s="52"/>
      <c r="B72" s="52"/>
      <c r="C72" s="52"/>
      <c r="D72" s="52"/>
      <c r="E72" s="52"/>
    </row>
    <row r="73">
      <c r="A73" s="52"/>
      <c r="B73" s="52"/>
      <c r="C73" s="52"/>
      <c r="D73" s="52"/>
      <c r="E73" s="52"/>
    </row>
    <row r="74">
      <c r="A74" s="52"/>
      <c r="B74" s="52"/>
      <c r="C74" s="52"/>
      <c r="D74" s="52"/>
      <c r="E74" s="52"/>
    </row>
    <row r="75">
      <c r="A75" s="52"/>
      <c r="B75" s="52"/>
      <c r="C75" s="52"/>
      <c r="D75" s="52"/>
      <c r="E75" s="52"/>
    </row>
    <row r="76">
      <c r="A76" s="52"/>
      <c r="B76" s="52"/>
      <c r="C76" s="52"/>
      <c r="D76" s="52"/>
      <c r="E76" s="52"/>
    </row>
    <row r="77">
      <c r="A77" s="52"/>
      <c r="B77" s="52"/>
      <c r="C77" s="52"/>
      <c r="D77" s="52"/>
      <c r="E77" s="52"/>
    </row>
    <row r="78">
      <c r="A78" s="52"/>
      <c r="B78" s="52"/>
      <c r="C78" s="52"/>
      <c r="D78" s="52"/>
      <c r="E78" s="52"/>
    </row>
    <row r="79">
      <c r="A79" s="52"/>
      <c r="B79" s="52"/>
      <c r="C79" s="52"/>
      <c r="D79" s="52"/>
      <c r="E79" s="52"/>
    </row>
    <row r="80">
      <c r="A80" s="52"/>
      <c r="B80" s="52"/>
      <c r="C80" s="52"/>
      <c r="D80" s="52"/>
      <c r="E80" s="52"/>
    </row>
    <row r="81">
      <c r="A81" s="52"/>
      <c r="B81" s="52"/>
      <c r="C81" s="52"/>
      <c r="D81" s="52"/>
      <c r="E81" s="52"/>
    </row>
    <row r="82">
      <c r="A82" s="52"/>
      <c r="B82" s="52"/>
      <c r="C82" s="52"/>
      <c r="D82" s="52"/>
      <c r="E82" s="52"/>
    </row>
    <row r="83">
      <c r="A83" s="52"/>
      <c r="B83" s="52"/>
      <c r="C83" s="52"/>
      <c r="D83" s="52"/>
      <c r="E83" s="52"/>
    </row>
    <row r="84">
      <c r="A84" s="52"/>
      <c r="B84" s="52"/>
      <c r="C84" s="52"/>
      <c r="D84" s="52"/>
      <c r="E84" s="52"/>
    </row>
    <row r="85">
      <c r="A85" s="52"/>
      <c r="B85" s="52"/>
      <c r="C85" s="52"/>
      <c r="D85" s="52"/>
      <c r="E85" s="52"/>
    </row>
    <row r="86">
      <c r="A86" s="52"/>
      <c r="B86" s="52"/>
      <c r="C86" s="52"/>
      <c r="D86" s="52"/>
      <c r="E86" s="52"/>
    </row>
    <row r="87">
      <c r="A87" s="52"/>
      <c r="B87" s="52"/>
      <c r="C87" s="52"/>
      <c r="D87" s="52"/>
      <c r="E87" s="52"/>
    </row>
    <row r="88">
      <c r="A88" s="52"/>
      <c r="B88" s="52"/>
      <c r="C88" s="52"/>
      <c r="D88" s="52"/>
      <c r="E88" s="52"/>
    </row>
    <row r="89">
      <c r="A89" s="52"/>
      <c r="B89" s="52"/>
      <c r="C89" s="52"/>
      <c r="D89" s="52"/>
      <c r="E89" s="52"/>
    </row>
    <row r="90">
      <c r="A90" s="52"/>
      <c r="B90" s="52"/>
      <c r="C90" s="52"/>
      <c r="D90" s="52"/>
      <c r="E90" s="52"/>
    </row>
    <row r="91">
      <c r="A91" s="52"/>
      <c r="B91" s="52"/>
      <c r="C91" s="52"/>
      <c r="D91" s="52"/>
      <c r="E91" s="52"/>
    </row>
    <row r="92">
      <c r="A92" s="52"/>
      <c r="B92" s="52"/>
      <c r="C92" s="52"/>
      <c r="D92" s="52"/>
      <c r="E92" s="52"/>
    </row>
    <row r="93">
      <c r="A93" s="52"/>
      <c r="B93" s="52"/>
      <c r="C93" s="52"/>
      <c r="D93" s="52"/>
      <c r="E93" s="52"/>
    </row>
    <row r="94">
      <c r="A94" s="52"/>
      <c r="B94" s="52"/>
      <c r="C94" s="52"/>
      <c r="D94" s="52"/>
      <c r="E94" s="52"/>
    </row>
    <row r="95">
      <c r="A95" s="52"/>
      <c r="B95" s="52"/>
      <c r="C95" s="52"/>
      <c r="D95" s="52"/>
      <c r="E95" s="52"/>
    </row>
    <row r="96">
      <c r="A96" s="52"/>
      <c r="B96" s="52"/>
      <c r="C96" s="52"/>
      <c r="D96" s="52"/>
      <c r="E96" s="52"/>
    </row>
    <row r="97">
      <c r="A97" s="52"/>
      <c r="B97" s="52"/>
      <c r="C97" s="52"/>
      <c r="D97" s="52"/>
      <c r="E97" s="52"/>
    </row>
    <row r="98">
      <c r="A98" s="52"/>
      <c r="B98" s="52"/>
      <c r="C98" s="52"/>
      <c r="D98" s="52"/>
      <c r="E98" s="52"/>
    </row>
    <row r="99">
      <c r="A99" s="52"/>
      <c r="B99" s="52"/>
      <c r="C99" s="52"/>
      <c r="D99" s="52"/>
      <c r="E99" s="52"/>
    </row>
    <row r="100">
      <c r="A100" s="52"/>
      <c r="B100" s="52"/>
      <c r="C100" s="52"/>
      <c r="D100" s="52"/>
      <c r="E100" s="52"/>
    </row>
    <row r="101">
      <c r="A101" s="52"/>
      <c r="B101" s="52"/>
      <c r="C101" s="52"/>
      <c r="D101" s="52"/>
      <c r="E101" s="52"/>
    </row>
    <row r="102">
      <c r="A102" s="52"/>
      <c r="B102" s="52"/>
      <c r="C102" s="52"/>
      <c r="D102" s="52"/>
      <c r="E102" s="52"/>
    </row>
    <row r="103">
      <c r="A103" s="52"/>
      <c r="B103" s="52"/>
      <c r="C103" s="52"/>
      <c r="D103" s="52"/>
      <c r="E103" s="52"/>
    </row>
    <row r="104">
      <c r="A104" s="52"/>
      <c r="B104" s="52"/>
      <c r="C104" s="52"/>
      <c r="D104" s="52"/>
      <c r="E104" s="52"/>
    </row>
    <row r="105">
      <c r="A105" s="52"/>
      <c r="B105" s="52"/>
      <c r="C105" s="52"/>
      <c r="D105" s="52"/>
      <c r="E105" s="52"/>
    </row>
    <row r="106">
      <c r="A106" s="52"/>
      <c r="B106" s="52"/>
      <c r="C106" s="52"/>
      <c r="D106" s="52"/>
      <c r="E106" s="52"/>
    </row>
    <row r="107">
      <c r="A107" s="52"/>
      <c r="B107" s="52"/>
      <c r="C107" s="52"/>
      <c r="D107" s="52"/>
      <c r="E107" s="52"/>
    </row>
    <row r="108">
      <c r="A108" s="52"/>
      <c r="B108" s="52"/>
      <c r="C108" s="52"/>
      <c r="D108" s="52"/>
      <c r="E108" s="52"/>
    </row>
    <row r="109">
      <c r="A109" s="52"/>
      <c r="B109" s="52"/>
      <c r="C109" s="52"/>
      <c r="D109" s="52"/>
      <c r="E109" s="52"/>
    </row>
    <row r="110">
      <c r="A110" s="52"/>
      <c r="B110" s="52"/>
      <c r="C110" s="52"/>
      <c r="D110" s="52"/>
      <c r="E110" s="52"/>
    </row>
    <row r="111">
      <c r="A111" s="52"/>
      <c r="B111" s="52"/>
      <c r="C111" s="52"/>
      <c r="D111" s="52"/>
      <c r="E111" s="52"/>
    </row>
    <row r="112">
      <c r="A112" s="52"/>
      <c r="B112" s="52"/>
      <c r="C112" s="52"/>
      <c r="D112" s="52"/>
      <c r="E112" s="52"/>
    </row>
    <row r="113">
      <c r="A113" s="52"/>
      <c r="B113" s="52"/>
      <c r="C113" s="52"/>
      <c r="D113" s="52"/>
      <c r="E113" s="52"/>
    </row>
    <row r="114">
      <c r="A114" s="52"/>
      <c r="B114" s="52"/>
      <c r="C114" s="52"/>
      <c r="D114" s="52"/>
      <c r="E114" s="52"/>
    </row>
    <row r="115">
      <c r="A115" s="52"/>
      <c r="B115" s="52"/>
      <c r="C115" s="52"/>
      <c r="D115" s="52"/>
      <c r="E115" s="52"/>
    </row>
    <row r="116">
      <c r="A116" s="52"/>
      <c r="B116" s="52"/>
      <c r="C116" s="52"/>
      <c r="D116" s="52"/>
      <c r="E116" s="52"/>
    </row>
    <row r="117">
      <c r="A117" s="52"/>
      <c r="B117" s="52"/>
      <c r="C117" s="52"/>
      <c r="D117" s="52"/>
      <c r="E117" s="52"/>
    </row>
    <row r="118">
      <c r="A118" s="52"/>
      <c r="B118" s="52"/>
      <c r="C118" s="52"/>
      <c r="D118" s="52"/>
      <c r="E118" s="52"/>
    </row>
    <row r="119">
      <c r="A119" s="52"/>
      <c r="B119" s="52"/>
      <c r="C119" s="52"/>
      <c r="D119" s="52"/>
      <c r="E119" s="52"/>
    </row>
    <row r="120">
      <c r="A120" s="52"/>
      <c r="B120" s="52"/>
      <c r="C120" s="52"/>
      <c r="D120" s="52"/>
      <c r="E120" s="52"/>
    </row>
    <row r="121">
      <c r="A121" s="52"/>
      <c r="B121" s="52"/>
      <c r="C121" s="52"/>
      <c r="D121" s="52"/>
      <c r="E121" s="52"/>
    </row>
    <row r="122">
      <c r="A122" s="52"/>
      <c r="B122" s="52"/>
      <c r="C122" s="52"/>
      <c r="D122" s="52"/>
      <c r="E122" s="52"/>
    </row>
    <row r="123">
      <c r="A123" s="52"/>
      <c r="B123" s="52"/>
      <c r="C123" s="52"/>
      <c r="D123" s="52"/>
      <c r="E123" s="52"/>
    </row>
    <row r="124">
      <c r="A124" s="52"/>
      <c r="B124" s="52"/>
      <c r="C124" s="52"/>
      <c r="D124" s="52"/>
      <c r="E124" s="52"/>
    </row>
    <row r="125">
      <c r="A125" s="52"/>
      <c r="B125" s="52"/>
      <c r="C125" s="52"/>
      <c r="D125" s="52"/>
      <c r="E125" s="52"/>
    </row>
    <row r="126">
      <c r="A126" s="52"/>
      <c r="B126" s="52"/>
      <c r="C126" s="52"/>
      <c r="D126" s="52"/>
      <c r="E126" s="52"/>
    </row>
    <row r="127">
      <c r="A127" s="52"/>
      <c r="B127" s="52"/>
      <c r="C127" s="52"/>
      <c r="D127" s="52"/>
      <c r="E127" s="52"/>
    </row>
    <row r="128">
      <c r="A128" s="52"/>
      <c r="B128" s="52"/>
      <c r="C128" s="52"/>
      <c r="D128" s="52"/>
      <c r="E128" s="52"/>
    </row>
    <row r="129">
      <c r="A129" s="52"/>
      <c r="B129" s="52"/>
      <c r="C129" s="52"/>
      <c r="D129" s="52"/>
      <c r="E129" s="52"/>
    </row>
    <row r="130">
      <c r="A130" s="52"/>
      <c r="B130" s="52"/>
      <c r="C130" s="52"/>
      <c r="D130" s="52"/>
      <c r="E130" s="52"/>
    </row>
    <row r="131">
      <c r="A131" s="52"/>
      <c r="B131" s="52"/>
      <c r="C131" s="52"/>
      <c r="D131" s="52"/>
      <c r="E131" s="52"/>
    </row>
    <row r="132">
      <c r="A132" s="52"/>
      <c r="B132" s="52"/>
      <c r="C132" s="52"/>
      <c r="D132" s="52"/>
      <c r="E132" s="52"/>
    </row>
    <row r="133">
      <c r="A133" s="52"/>
      <c r="B133" s="52"/>
      <c r="C133" s="52"/>
      <c r="D133" s="52"/>
      <c r="E133" s="52"/>
    </row>
    <row r="134">
      <c r="A134" s="52"/>
      <c r="B134" s="52"/>
      <c r="C134" s="52"/>
      <c r="D134" s="52"/>
      <c r="E134" s="52"/>
    </row>
    <row r="135">
      <c r="A135" s="52"/>
      <c r="B135" s="52"/>
      <c r="C135" s="52"/>
      <c r="D135" s="52"/>
      <c r="E135" s="52"/>
    </row>
    <row r="136">
      <c r="A136" s="52"/>
      <c r="B136" s="52"/>
      <c r="C136" s="52"/>
      <c r="D136" s="52"/>
      <c r="E136" s="52"/>
    </row>
    <row r="137">
      <c r="A137" s="52"/>
      <c r="B137" s="52"/>
      <c r="C137" s="52"/>
      <c r="D137" s="52"/>
      <c r="E137" s="52"/>
    </row>
    <row r="138">
      <c r="A138" s="52"/>
      <c r="B138" s="52"/>
      <c r="C138" s="52"/>
      <c r="D138" s="52"/>
      <c r="E138" s="52"/>
    </row>
    <row r="139">
      <c r="A139" s="52"/>
      <c r="B139" s="52"/>
      <c r="C139" s="52"/>
      <c r="D139" s="52"/>
      <c r="E139" s="52"/>
    </row>
    <row r="140">
      <c r="A140" s="52"/>
      <c r="B140" s="52"/>
      <c r="C140" s="52"/>
      <c r="D140" s="52"/>
      <c r="E140" s="52"/>
    </row>
    <row r="141">
      <c r="A141" s="52"/>
      <c r="B141" s="52"/>
      <c r="C141" s="52"/>
      <c r="D141" s="52"/>
      <c r="E141" s="52"/>
    </row>
    <row r="142">
      <c r="A142" s="52"/>
      <c r="B142" s="52"/>
      <c r="C142" s="52"/>
      <c r="D142" s="52"/>
      <c r="E142" s="52"/>
    </row>
    <row r="143">
      <c r="A143" s="52"/>
      <c r="B143" s="52"/>
      <c r="C143" s="52"/>
      <c r="D143" s="52"/>
      <c r="E143" s="52"/>
    </row>
    <row r="144">
      <c r="A144" s="52"/>
      <c r="B144" s="52"/>
      <c r="C144" s="52"/>
      <c r="D144" s="52"/>
      <c r="E144" s="52"/>
    </row>
    <row r="145">
      <c r="A145" s="52"/>
      <c r="B145" s="52"/>
      <c r="C145" s="52"/>
      <c r="D145" s="52"/>
      <c r="E145" s="52"/>
    </row>
    <row r="146">
      <c r="A146" s="52"/>
      <c r="B146" s="52"/>
      <c r="C146" s="52"/>
      <c r="D146" s="52"/>
      <c r="E146" s="52"/>
    </row>
    <row r="147">
      <c r="A147" s="52"/>
      <c r="B147" s="52"/>
      <c r="C147" s="52"/>
      <c r="D147" s="52"/>
      <c r="E147" s="52"/>
    </row>
    <row r="148">
      <c r="A148" s="52"/>
      <c r="B148" s="52"/>
      <c r="C148" s="52"/>
      <c r="D148" s="52"/>
      <c r="E148" s="52"/>
    </row>
    <row r="149">
      <c r="A149" s="52"/>
      <c r="B149" s="52"/>
      <c r="C149" s="52"/>
      <c r="D149" s="52"/>
      <c r="E149" s="52"/>
    </row>
    <row r="150">
      <c r="A150" s="52"/>
      <c r="B150" s="52"/>
      <c r="C150" s="52"/>
      <c r="D150" s="52"/>
      <c r="E150" s="52"/>
    </row>
    <row r="151">
      <c r="A151" s="52"/>
      <c r="B151" s="52"/>
      <c r="C151" s="52"/>
      <c r="D151" s="52"/>
      <c r="E151" s="52"/>
    </row>
    <row r="152">
      <c r="A152" s="52"/>
      <c r="B152" s="52"/>
      <c r="C152" s="52"/>
      <c r="D152" s="52"/>
      <c r="E152" s="52"/>
    </row>
    <row r="153">
      <c r="A153" s="52"/>
      <c r="B153" s="52"/>
      <c r="C153" s="52"/>
      <c r="D153" s="52"/>
      <c r="E153" s="52"/>
    </row>
    <row r="154">
      <c r="A154" s="52"/>
      <c r="B154" s="52"/>
      <c r="C154" s="52"/>
      <c r="D154" s="52"/>
      <c r="E154" s="52"/>
    </row>
    <row r="155">
      <c r="A155" s="52"/>
      <c r="B155" s="52"/>
      <c r="C155" s="52"/>
      <c r="D155" s="52"/>
      <c r="E155" s="52"/>
    </row>
    <row r="156">
      <c r="A156" s="52"/>
      <c r="B156" s="52"/>
      <c r="C156" s="52"/>
      <c r="D156" s="52"/>
      <c r="E156" s="52"/>
    </row>
    <row r="157">
      <c r="A157" s="52"/>
      <c r="B157" s="52"/>
      <c r="C157" s="52"/>
      <c r="D157" s="52"/>
      <c r="E157" s="52"/>
    </row>
    <row r="158">
      <c r="A158" s="52"/>
      <c r="B158" s="52"/>
      <c r="C158" s="52"/>
      <c r="D158" s="52"/>
      <c r="E158" s="52"/>
    </row>
    <row r="159">
      <c r="A159" s="52"/>
      <c r="B159" s="52"/>
      <c r="C159" s="52"/>
      <c r="D159" s="52"/>
      <c r="E159" s="52"/>
    </row>
    <row r="160">
      <c r="A160" s="52"/>
      <c r="B160" s="52"/>
      <c r="C160" s="52"/>
      <c r="D160" s="52"/>
      <c r="E160" s="52"/>
    </row>
    <row r="161">
      <c r="A161" s="52"/>
      <c r="B161" s="52"/>
      <c r="C161" s="52"/>
      <c r="D161" s="52"/>
      <c r="E161" s="52"/>
    </row>
    <row r="162">
      <c r="A162" s="52"/>
      <c r="B162" s="52"/>
      <c r="C162" s="52"/>
      <c r="D162" s="52"/>
      <c r="E162" s="52"/>
    </row>
    <row r="163">
      <c r="A163" s="52"/>
      <c r="B163" s="52"/>
      <c r="C163" s="52"/>
      <c r="D163" s="52"/>
      <c r="E163" s="52"/>
    </row>
    <row r="164">
      <c r="A164" s="52"/>
      <c r="B164" s="52"/>
      <c r="C164" s="52"/>
      <c r="D164" s="52"/>
      <c r="E164" s="52"/>
    </row>
    <row r="165">
      <c r="A165" s="52"/>
      <c r="B165" s="52"/>
      <c r="C165" s="52"/>
      <c r="D165" s="52"/>
      <c r="E165" s="52"/>
    </row>
    <row r="166">
      <c r="A166" s="52"/>
      <c r="B166" s="52"/>
      <c r="C166" s="52"/>
      <c r="D166" s="52"/>
      <c r="E166" s="52"/>
    </row>
    <row r="167">
      <c r="A167" s="52"/>
      <c r="B167" s="52"/>
      <c r="C167" s="52"/>
      <c r="D167" s="52"/>
      <c r="E167" s="52"/>
    </row>
    <row r="168">
      <c r="A168" s="52"/>
      <c r="B168" s="52"/>
      <c r="C168" s="52"/>
      <c r="D168" s="52"/>
      <c r="E168" s="52"/>
    </row>
    <row r="169">
      <c r="A169" s="52"/>
      <c r="B169" s="52"/>
      <c r="C169" s="52"/>
      <c r="D169" s="52"/>
      <c r="E169" s="52"/>
    </row>
    <row r="170">
      <c r="A170" s="52"/>
      <c r="B170" s="52"/>
      <c r="C170" s="52"/>
      <c r="D170" s="52"/>
      <c r="E170" s="52"/>
    </row>
    <row r="171">
      <c r="A171" s="52"/>
      <c r="B171" s="52"/>
      <c r="C171" s="52"/>
      <c r="D171" s="52"/>
      <c r="E171" s="52"/>
    </row>
    <row r="172">
      <c r="A172" s="52"/>
      <c r="B172" s="52"/>
      <c r="C172" s="52"/>
      <c r="D172" s="52"/>
      <c r="E172" s="52"/>
    </row>
    <row r="173">
      <c r="A173" s="52"/>
      <c r="B173" s="52"/>
      <c r="C173" s="52"/>
      <c r="D173" s="52"/>
      <c r="E173" s="52"/>
    </row>
    <row r="174">
      <c r="A174" s="52"/>
      <c r="B174" s="52"/>
      <c r="C174" s="52"/>
      <c r="D174" s="52"/>
      <c r="E174" s="52"/>
    </row>
    <row r="175">
      <c r="A175" s="52"/>
      <c r="B175" s="52"/>
      <c r="C175" s="52"/>
      <c r="D175" s="52"/>
      <c r="E175" s="52"/>
    </row>
    <row r="176">
      <c r="A176" s="52"/>
      <c r="B176" s="52"/>
      <c r="C176" s="52"/>
      <c r="D176" s="52"/>
      <c r="E176" s="52"/>
    </row>
    <row r="177">
      <c r="A177" s="52"/>
      <c r="B177" s="52"/>
      <c r="C177" s="52"/>
      <c r="D177" s="52"/>
      <c r="E177" s="52"/>
    </row>
    <row r="178">
      <c r="A178" s="52"/>
      <c r="B178" s="52"/>
      <c r="C178" s="52"/>
      <c r="D178" s="52"/>
      <c r="E178" s="52"/>
    </row>
    <row r="179">
      <c r="A179" s="52"/>
      <c r="B179" s="52"/>
      <c r="C179" s="52"/>
      <c r="D179" s="52"/>
      <c r="E179" s="52"/>
    </row>
    <row r="180">
      <c r="A180" s="52"/>
      <c r="B180" s="52"/>
      <c r="C180" s="52"/>
      <c r="D180" s="52"/>
      <c r="E180" s="52"/>
    </row>
    <row r="181">
      <c r="A181" s="52"/>
      <c r="B181" s="52"/>
      <c r="C181" s="52"/>
      <c r="D181" s="52"/>
      <c r="E181" s="52"/>
    </row>
    <row r="182">
      <c r="A182" s="52"/>
      <c r="B182" s="52"/>
      <c r="C182" s="52"/>
      <c r="D182" s="52"/>
      <c r="E182" s="52"/>
    </row>
    <row r="183">
      <c r="A183" s="52"/>
      <c r="B183" s="52"/>
      <c r="C183" s="52"/>
      <c r="D183" s="52"/>
      <c r="E183" s="52"/>
    </row>
    <row r="184">
      <c r="A184" s="52"/>
      <c r="B184" s="52"/>
      <c r="C184" s="52"/>
      <c r="D184" s="52"/>
      <c r="E184" s="52"/>
    </row>
    <row r="185">
      <c r="A185" s="52"/>
      <c r="B185" s="52"/>
      <c r="C185" s="52"/>
      <c r="D185" s="52"/>
      <c r="E185" s="52"/>
    </row>
    <row r="186">
      <c r="A186" s="52"/>
      <c r="B186" s="52"/>
      <c r="C186" s="52"/>
      <c r="D186" s="52"/>
      <c r="E186" s="52"/>
    </row>
    <row r="187">
      <c r="A187" s="52"/>
      <c r="B187" s="52"/>
      <c r="C187" s="52"/>
      <c r="D187" s="52"/>
      <c r="E187" s="52"/>
    </row>
    <row r="188">
      <c r="A188" s="52"/>
      <c r="B188" s="52"/>
      <c r="C188" s="52"/>
      <c r="D188" s="52"/>
      <c r="E188" s="52"/>
    </row>
    <row r="189">
      <c r="A189" s="52"/>
      <c r="B189" s="52"/>
      <c r="C189" s="52"/>
      <c r="D189" s="52"/>
      <c r="E189" s="52"/>
    </row>
    <row r="190">
      <c r="A190" s="52"/>
      <c r="B190" s="52"/>
      <c r="C190" s="52"/>
      <c r="D190" s="52"/>
      <c r="E190" s="52"/>
    </row>
    <row r="191">
      <c r="A191" s="52"/>
      <c r="B191" s="52"/>
      <c r="C191" s="52"/>
      <c r="D191" s="52"/>
      <c r="E191" s="52"/>
    </row>
    <row r="192">
      <c r="A192" s="52"/>
      <c r="B192" s="52"/>
      <c r="C192" s="52"/>
      <c r="D192" s="52"/>
      <c r="E192" s="52"/>
    </row>
    <row r="193">
      <c r="A193" s="52"/>
      <c r="B193" s="52"/>
      <c r="C193" s="52"/>
      <c r="D193" s="52"/>
      <c r="E193" s="52"/>
    </row>
    <row r="194">
      <c r="A194" s="52"/>
      <c r="B194" s="52"/>
      <c r="C194" s="52"/>
      <c r="D194" s="52"/>
      <c r="E194" s="52"/>
    </row>
    <row r="195">
      <c r="A195" s="52"/>
      <c r="B195" s="52"/>
      <c r="C195" s="52"/>
      <c r="D195" s="52"/>
      <c r="E195" s="52"/>
    </row>
    <row r="196">
      <c r="A196" s="52"/>
      <c r="B196" s="52"/>
      <c r="C196" s="52"/>
      <c r="D196" s="52"/>
      <c r="E196" s="52"/>
    </row>
    <row r="197">
      <c r="A197" s="52"/>
      <c r="B197" s="52"/>
      <c r="C197" s="52"/>
      <c r="D197" s="52"/>
      <c r="E197" s="52"/>
    </row>
    <row r="198">
      <c r="A198" s="52"/>
      <c r="B198" s="52"/>
      <c r="C198" s="52"/>
      <c r="D198" s="52"/>
      <c r="E198" s="52"/>
    </row>
    <row r="199">
      <c r="A199" s="52"/>
      <c r="B199" s="52"/>
      <c r="C199" s="52"/>
      <c r="D199" s="52"/>
      <c r="E199" s="52"/>
    </row>
    <row r="200">
      <c r="A200" s="52"/>
      <c r="B200" s="52"/>
      <c r="C200" s="52"/>
      <c r="D200" s="52"/>
      <c r="E200" s="52"/>
    </row>
    <row r="201">
      <c r="A201" s="52"/>
      <c r="B201" s="52"/>
      <c r="C201" s="52"/>
      <c r="D201" s="52"/>
      <c r="E201" s="52"/>
    </row>
    <row r="202">
      <c r="A202" s="52"/>
      <c r="B202" s="52"/>
      <c r="C202" s="52"/>
      <c r="D202" s="52"/>
      <c r="E202" s="52"/>
    </row>
    <row r="203">
      <c r="A203" s="52"/>
      <c r="B203" s="52"/>
      <c r="C203" s="52"/>
      <c r="D203" s="52"/>
      <c r="E203" s="52"/>
    </row>
    <row r="204">
      <c r="A204" s="52"/>
      <c r="B204" s="52"/>
      <c r="C204" s="52"/>
      <c r="D204" s="52"/>
      <c r="E204" s="52"/>
    </row>
    <row r="205">
      <c r="A205" s="52"/>
      <c r="B205" s="52"/>
      <c r="C205" s="52"/>
      <c r="D205" s="52"/>
      <c r="E205" s="52"/>
    </row>
    <row r="206">
      <c r="A206" s="52"/>
      <c r="B206" s="52"/>
      <c r="C206" s="52"/>
      <c r="D206" s="52"/>
      <c r="E206" s="52"/>
    </row>
    <row r="207">
      <c r="A207" s="52"/>
      <c r="B207" s="52"/>
      <c r="C207" s="52"/>
      <c r="D207" s="52"/>
      <c r="E207" s="52"/>
    </row>
    <row r="208">
      <c r="A208" s="52"/>
      <c r="B208" s="52"/>
      <c r="C208" s="52"/>
      <c r="D208" s="52"/>
      <c r="E208" s="52"/>
    </row>
    <row r="209">
      <c r="A209" s="52"/>
      <c r="B209" s="52"/>
      <c r="C209" s="52"/>
      <c r="D209" s="52"/>
      <c r="E209" s="52"/>
    </row>
    <row r="210">
      <c r="A210" s="52"/>
      <c r="B210" s="52"/>
      <c r="C210" s="52"/>
      <c r="D210" s="52"/>
      <c r="E210" s="52"/>
    </row>
    <row r="211">
      <c r="A211" s="52"/>
      <c r="B211" s="52"/>
      <c r="C211" s="52"/>
      <c r="D211" s="52"/>
      <c r="E211" s="52"/>
    </row>
    <row r="212">
      <c r="A212" s="52"/>
      <c r="B212" s="52"/>
      <c r="C212" s="52"/>
      <c r="D212" s="52"/>
      <c r="E212" s="52"/>
    </row>
    <row r="213">
      <c r="A213" s="52"/>
      <c r="B213" s="52"/>
      <c r="C213" s="52"/>
      <c r="D213" s="52"/>
      <c r="E213" s="52"/>
    </row>
    <row r="214">
      <c r="A214" s="52"/>
      <c r="B214" s="52"/>
      <c r="C214" s="52"/>
      <c r="D214" s="52"/>
      <c r="E214" s="52"/>
    </row>
    <row r="215">
      <c r="A215" s="52"/>
      <c r="B215" s="52"/>
      <c r="C215" s="52"/>
      <c r="D215" s="52"/>
      <c r="E215" s="52"/>
    </row>
    <row r="216">
      <c r="A216" s="52"/>
      <c r="B216" s="52"/>
      <c r="C216" s="52"/>
      <c r="D216" s="52"/>
      <c r="E216" s="52"/>
    </row>
    <row r="217">
      <c r="A217" s="52"/>
      <c r="B217" s="52"/>
      <c r="C217" s="52"/>
      <c r="D217" s="52"/>
      <c r="E217" s="52"/>
    </row>
    <row r="218">
      <c r="A218" s="52"/>
      <c r="B218" s="52"/>
      <c r="C218" s="52"/>
      <c r="D218" s="52"/>
      <c r="E218" s="52"/>
    </row>
    <row r="219">
      <c r="A219" s="52"/>
      <c r="B219" s="52"/>
      <c r="C219" s="52"/>
      <c r="D219" s="52"/>
      <c r="E219" s="52"/>
    </row>
    <row r="220">
      <c r="A220" s="52"/>
      <c r="B220" s="52"/>
      <c r="C220" s="52"/>
      <c r="D220" s="52"/>
      <c r="E220" s="52"/>
    </row>
    <row r="221">
      <c r="A221" s="52"/>
      <c r="B221" s="52"/>
      <c r="C221" s="52"/>
      <c r="D221" s="52"/>
      <c r="E221" s="52"/>
    </row>
    <row r="222">
      <c r="A222" s="52"/>
      <c r="B222" s="52"/>
      <c r="C222" s="52"/>
      <c r="D222" s="52"/>
      <c r="E222" s="52"/>
    </row>
    <row r="223">
      <c r="A223" s="52"/>
      <c r="B223" s="52"/>
      <c r="C223" s="52"/>
      <c r="D223" s="52"/>
      <c r="E223" s="52"/>
    </row>
    <row r="224">
      <c r="A224" s="52"/>
      <c r="B224" s="52"/>
      <c r="C224" s="52"/>
      <c r="D224" s="52"/>
      <c r="E224" s="52"/>
    </row>
    <row r="225">
      <c r="A225" s="52"/>
      <c r="B225" s="52"/>
      <c r="C225" s="52"/>
      <c r="D225" s="52"/>
      <c r="E225" s="52"/>
    </row>
    <row r="226">
      <c r="A226" s="52"/>
      <c r="B226" s="52"/>
      <c r="C226" s="52"/>
      <c r="D226" s="52"/>
      <c r="E226" s="52"/>
    </row>
    <row r="227">
      <c r="A227" s="52"/>
      <c r="B227" s="52"/>
      <c r="C227" s="52"/>
      <c r="D227" s="52"/>
      <c r="E227" s="52"/>
    </row>
    <row r="228">
      <c r="A228" s="52"/>
      <c r="B228" s="52"/>
      <c r="C228" s="52"/>
      <c r="D228" s="52"/>
      <c r="E228" s="52"/>
    </row>
    <row r="229">
      <c r="A229" s="52"/>
      <c r="B229" s="52"/>
      <c r="C229" s="52"/>
      <c r="D229" s="52"/>
      <c r="E229" s="52"/>
    </row>
    <row r="230">
      <c r="A230" s="52"/>
      <c r="B230" s="52"/>
      <c r="C230" s="52"/>
      <c r="D230" s="52"/>
      <c r="E230" s="52"/>
    </row>
    <row r="231">
      <c r="A231" s="52"/>
      <c r="B231" s="52"/>
      <c r="C231" s="52"/>
      <c r="D231" s="52"/>
      <c r="E231" s="52"/>
    </row>
    <row r="232">
      <c r="A232" s="52"/>
      <c r="B232" s="52"/>
      <c r="C232" s="52"/>
      <c r="D232" s="52"/>
      <c r="E232" s="52"/>
    </row>
    <row r="233">
      <c r="A233" s="52"/>
      <c r="B233" s="52"/>
      <c r="C233" s="52"/>
      <c r="D233" s="52"/>
      <c r="E233" s="52"/>
    </row>
    <row r="234">
      <c r="A234" s="52"/>
      <c r="B234" s="52"/>
      <c r="C234" s="52"/>
      <c r="D234" s="52"/>
      <c r="E234" s="52"/>
    </row>
    <row r="235">
      <c r="A235" s="52"/>
      <c r="B235" s="52"/>
      <c r="C235" s="52"/>
      <c r="D235" s="52"/>
      <c r="E235" s="52"/>
    </row>
    <row r="236">
      <c r="A236" s="52"/>
      <c r="B236" s="52"/>
      <c r="C236" s="52"/>
      <c r="D236" s="52"/>
      <c r="E236" s="52"/>
    </row>
    <row r="237">
      <c r="A237" s="52"/>
      <c r="B237" s="52"/>
      <c r="C237" s="52"/>
      <c r="D237" s="52"/>
      <c r="E237" s="52"/>
    </row>
    <row r="238">
      <c r="A238" s="52"/>
      <c r="B238" s="52"/>
      <c r="C238" s="52"/>
      <c r="D238" s="52"/>
      <c r="E238" s="52"/>
    </row>
    <row r="239">
      <c r="A239" s="52"/>
      <c r="B239" s="52"/>
      <c r="C239" s="52"/>
      <c r="D239" s="52"/>
      <c r="E239" s="52"/>
    </row>
    <row r="240">
      <c r="A240" s="52"/>
      <c r="B240" s="52"/>
      <c r="C240" s="52"/>
      <c r="D240" s="52"/>
      <c r="E240" s="52"/>
    </row>
    <row r="241">
      <c r="A241" s="52"/>
      <c r="B241" s="52"/>
      <c r="C241" s="52"/>
      <c r="D241" s="52"/>
      <c r="E241" s="52"/>
    </row>
    <row r="242">
      <c r="A242" s="52"/>
      <c r="B242" s="52"/>
      <c r="C242" s="52"/>
      <c r="D242" s="52"/>
      <c r="E242" s="52"/>
    </row>
    <row r="243">
      <c r="A243" s="52"/>
      <c r="B243" s="52"/>
      <c r="C243" s="52"/>
      <c r="D243" s="52"/>
      <c r="E243" s="52"/>
    </row>
    <row r="244">
      <c r="A244" s="52"/>
      <c r="B244" s="52"/>
      <c r="C244" s="52"/>
      <c r="D244" s="52"/>
      <c r="E244" s="52"/>
    </row>
    <row r="245">
      <c r="A245" s="52"/>
      <c r="B245" s="52"/>
      <c r="C245" s="52"/>
      <c r="D245" s="52"/>
      <c r="E245" s="52"/>
    </row>
    <row r="246">
      <c r="A246" s="52"/>
      <c r="B246" s="52"/>
      <c r="C246" s="52"/>
      <c r="D246" s="52"/>
      <c r="E246" s="52"/>
    </row>
    <row r="247">
      <c r="A247" s="52"/>
      <c r="B247" s="52"/>
      <c r="C247" s="52"/>
      <c r="D247" s="52"/>
      <c r="E247" s="52"/>
    </row>
    <row r="248">
      <c r="A248" s="52"/>
      <c r="B248" s="52"/>
      <c r="C248" s="52"/>
      <c r="D248" s="52"/>
      <c r="E248" s="52"/>
    </row>
    <row r="249">
      <c r="A249" s="52"/>
      <c r="B249" s="52"/>
      <c r="C249" s="52"/>
      <c r="D249" s="52"/>
      <c r="E249" s="52"/>
    </row>
    <row r="250">
      <c r="A250" s="52"/>
      <c r="B250" s="52"/>
      <c r="C250" s="52"/>
      <c r="D250" s="52"/>
      <c r="E250" s="52"/>
    </row>
    <row r="251">
      <c r="A251" s="52"/>
      <c r="B251" s="52"/>
      <c r="C251" s="52"/>
      <c r="D251" s="52"/>
      <c r="E251" s="52"/>
    </row>
    <row r="252">
      <c r="A252" s="52"/>
      <c r="B252" s="52"/>
      <c r="C252" s="52"/>
      <c r="D252" s="52"/>
      <c r="E252" s="52"/>
    </row>
    <row r="253">
      <c r="A253" s="52"/>
      <c r="B253" s="52"/>
      <c r="C253" s="52"/>
      <c r="D253" s="52"/>
      <c r="E253" s="52"/>
    </row>
    <row r="254">
      <c r="A254" s="52"/>
      <c r="B254" s="52"/>
      <c r="C254" s="52"/>
      <c r="D254" s="52"/>
      <c r="E254" s="52"/>
    </row>
    <row r="255">
      <c r="A255" s="52"/>
      <c r="B255" s="52"/>
      <c r="C255" s="52"/>
      <c r="D255" s="52"/>
      <c r="E255" s="52"/>
    </row>
    <row r="256">
      <c r="A256" s="52"/>
      <c r="B256" s="52"/>
      <c r="C256" s="52"/>
      <c r="D256" s="52"/>
      <c r="E256" s="52"/>
    </row>
    <row r="257">
      <c r="A257" s="52"/>
      <c r="B257" s="52"/>
      <c r="C257" s="52"/>
      <c r="D257" s="52"/>
      <c r="E257" s="52"/>
    </row>
    <row r="258">
      <c r="A258" s="52"/>
      <c r="B258" s="52"/>
      <c r="C258" s="52"/>
      <c r="D258" s="52"/>
      <c r="E258" s="52"/>
    </row>
    <row r="259">
      <c r="A259" s="52"/>
      <c r="B259" s="52"/>
      <c r="C259" s="52"/>
      <c r="D259" s="52"/>
      <c r="E259" s="52"/>
    </row>
    <row r="260">
      <c r="A260" s="52"/>
      <c r="B260" s="52"/>
      <c r="C260" s="52"/>
      <c r="D260" s="52"/>
      <c r="E260" s="52"/>
    </row>
    <row r="261">
      <c r="A261" s="52"/>
      <c r="B261" s="52"/>
      <c r="C261" s="52"/>
      <c r="D261" s="52"/>
      <c r="E261" s="52"/>
    </row>
    <row r="262">
      <c r="A262" s="52"/>
      <c r="B262" s="52"/>
      <c r="C262" s="52"/>
      <c r="D262" s="52"/>
      <c r="E262" s="52"/>
    </row>
    <row r="263">
      <c r="A263" s="52"/>
      <c r="B263" s="52"/>
      <c r="C263" s="52"/>
      <c r="D263" s="52"/>
      <c r="E263" s="52"/>
    </row>
    <row r="264">
      <c r="A264" s="52"/>
      <c r="B264" s="52"/>
      <c r="C264" s="52"/>
      <c r="D264" s="52"/>
      <c r="E264" s="52"/>
    </row>
    <row r="265">
      <c r="A265" s="52"/>
      <c r="B265" s="52"/>
      <c r="C265" s="52"/>
      <c r="D265" s="52"/>
      <c r="E265" s="52"/>
    </row>
    <row r="266">
      <c r="A266" s="52"/>
      <c r="B266" s="52"/>
      <c r="C266" s="52"/>
      <c r="D266" s="52"/>
      <c r="E266" s="52"/>
    </row>
    <row r="267">
      <c r="A267" s="52"/>
      <c r="B267" s="52"/>
      <c r="C267" s="52"/>
      <c r="D267" s="52"/>
      <c r="E267" s="52"/>
    </row>
    <row r="268">
      <c r="A268" s="52"/>
      <c r="B268" s="52"/>
      <c r="C268" s="52"/>
      <c r="D268" s="52"/>
      <c r="E268" s="52"/>
    </row>
    <row r="269">
      <c r="A269" s="52"/>
      <c r="B269" s="52"/>
      <c r="C269" s="52"/>
      <c r="D269" s="52"/>
      <c r="E269" s="52"/>
    </row>
    <row r="270">
      <c r="A270" s="52"/>
      <c r="B270" s="52"/>
      <c r="C270" s="52"/>
      <c r="D270" s="52"/>
      <c r="E270" s="52"/>
    </row>
    <row r="271">
      <c r="A271" s="52"/>
      <c r="B271" s="52"/>
      <c r="C271" s="52"/>
      <c r="D271" s="52"/>
      <c r="E271" s="52"/>
    </row>
    <row r="272">
      <c r="A272" s="52"/>
      <c r="B272" s="52"/>
      <c r="C272" s="52"/>
      <c r="D272" s="52"/>
      <c r="E272" s="52"/>
    </row>
    <row r="273">
      <c r="A273" s="52"/>
      <c r="B273" s="52"/>
      <c r="C273" s="52"/>
      <c r="D273" s="52"/>
      <c r="E273" s="52"/>
    </row>
    <row r="274">
      <c r="A274" s="52"/>
      <c r="B274" s="52"/>
      <c r="C274" s="52"/>
      <c r="D274" s="52"/>
      <c r="E274" s="52"/>
    </row>
    <row r="275">
      <c r="A275" s="52"/>
      <c r="B275" s="52"/>
      <c r="C275" s="52"/>
      <c r="D275" s="52"/>
      <c r="E275" s="52"/>
    </row>
    <row r="276">
      <c r="A276" s="52"/>
      <c r="B276" s="52"/>
      <c r="C276" s="52"/>
      <c r="D276" s="52"/>
      <c r="E276" s="52"/>
    </row>
    <row r="277">
      <c r="A277" s="52"/>
      <c r="B277" s="52"/>
      <c r="C277" s="52"/>
      <c r="D277" s="52"/>
      <c r="E277" s="52"/>
    </row>
    <row r="278">
      <c r="A278" s="52"/>
      <c r="B278" s="52"/>
      <c r="C278" s="52"/>
      <c r="D278" s="52"/>
      <c r="E278" s="52"/>
    </row>
    <row r="279">
      <c r="A279" s="52"/>
      <c r="B279" s="52"/>
      <c r="C279" s="52"/>
      <c r="D279" s="52"/>
      <c r="E279" s="52"/>
    </row>
    <row r="280">
      <c r="A280" s="52"/>
      <c r="B280" s="52"/>
      <c r="C280" s="52"/>
      <c r="D280" s="52"/>
      <c r="E280" s="52"/>
    </row>
    <row r="281">
      <c r="A281" s="52"/>
      <c r="B281" s="52"/>
      <c r="C281" s="52"/>
      <c r="D281" s="52"/>
      <c r="E281" s="52"/>
    </row>
    <row r="282">
      <c r="A282" s="52"/>
      <c r="B282" s="52"/>
      <c r="C282" s="52"/>
      <c r="D282" s="52"/>
      <c r="E282" s="52"/>
    </row>
    <row r="283">
      <c r="A283" s="52"/>
      <c r="B283" s="52"/>
      <c r="C283" s="52"/>
      <c r="D283" s="52"/>
      <c r="E283" s="52"/>
    </row>
    <row r="284">
      <c r="A284" s="52"/>
      <c r="B284" s="52"/>
      <c r="C284" s="52"/>
      <c r="D284" s="52"/>
      <c r="E284" s="52"/>
    </row>
    <row r="285">
      <c r="A285" s="52"/>
      <c r="B285" s="52"/>
      <c r="C285" s="52"/>
      <c r="D285" s="52"/>
      <c r="E285" s="52"/>
    </row>
    <row r="286">
      <c r="A286" s="52"/>
      <c r="B286" s="52"/>
      <c r="C286" s="52"/>
      <c r="D286" s="52"/>
      <c r="E286" s="52"/>
    </row>
    <row r="287">
      <c r="A287" s="52"/>
      <c r="B287" s="52"/>
      <c r="C287" s="52"/>
      <c r="D287" s="52"/>
      <c r="E287" s="52"/>
    </row>
    <row r="288">
      <c r="A288" s="52"/>
      <c r="B288" s="52"/>
      <c r="C288" s="52"/>
      <c r="D288" s="52"/>
      <c r="E288" s="52"/>
    </row>
    <row r="289">
      <c r="A289" s="52"/>
      <c r="B289" s="52"/>
      <c r="C289" s="52"/>
      <c r="D289" s="52"/>
      <c r="E289" s="52"/>
    </row>
    <row r="290">
      <c r="A290" s="52"/>
      <c r="B290" s="52"/>
      <c r="C290" s="52"/>
      <c r="D290" s="52"/>
      <c r="E290" s="52"/>
    </row>
    <row r="291">
      <c r="A291" s="52"/>
      <c r="B291" s="52"/>
      <c r="C291" s="52"/>
      <c r="D291" s="52"/>
      <c r="E291" s="52"/>
    </row>
    <row r="292">
      <c r="A292" s="52"/>
      <c r="B292" s="52"/>
      <c r="C292" s="52"/>
      <c r="D292" s="52"/>
      <c r="E292" s="52"/>
    </row>
    <row r="293">
      <c r="A293" s="52"/>
      <c r="B293" s="52"/>
      <c r="C293" s="52"/>
      <c r="D293" s="52"/>
      <c r="E293" s="52"/>
    </row>
    <row r="294">
      <c r="A294" s="52"/>
      <c r="B294" s="52"/>
      <c r="C294" s="52"/>
      <c r="D294" s="52"/>
      <c r="E294" s="52"/>
    </row>
    <row r="295">
      <c r="A295" s="52"/>
      <c r="B295" s="52"/>
      <c r="C295" s="52"/>
      <c r="D295" s="52"/>
      <c r="E295" s="52"/>
    </row>
    <row r="296">
      <c r="A296" s="52"/>
      <c r="B296" s="52"/>
      <c r="C296" s="52"/>
      <c r="D296" s="52"/>
      <c r="E296" s="52"/>
    </row>
    <row r="297">
      <c r="A297" s="52"/>
      <c r="B297" s="52"/>
      <c r="C297" s="52"/>
      <c r="D297" s="52"/>
      <c r="E297" s="52"/>
    </row>
    <row r="298">
      <c r="A298" s="52"/>
      <c r="B298" s="52"/>
      <c r="C298" s="52"/>
      <c r="D298" s="52"/>
      <c r="E298" s="52"/>
    </row>
    <row r="299">
      <c r="A299" s="52"/>
      <c r="B299" s="52"/>
      <c r="C299" s="52"/>
      <c r="D299" s="52"/>
      <c r="E299" s="52"/>
    </row>
    <row r="300">
      <c r="A300" s="52"/>
      <c r="B300" s="52"/>
      <c r="C300" s="52"/>
      <c r="D300" s="52"/>
      <c r="E300" s="52"/>
    </row>
    <row r="301">
      <c r="A301" s="52"/>
      <c r="B301" s="52"/>
      <c r="C301" s="52"/>
      <c r="D301" s="52"/>
      <c r="E301" s="52"/>
    </row>
    <row r="302">
      <c r="A302" s="52"/>
      <c r="B302" s="52"/>
      <c r="C302" s="52"/>
      <c r="D302" s="52"/>
      <c r="E302" s="52"/>
    </row>
    <row r="303">
      <c r="A303" s="52"/>
      <c r="B303" s="52"/>
      <c r="C303" s="52"/>
      <c r="D303" s="52"/>
      <c r="E303" s="52"/>
    </row>
    <row r="304">
      <c r="A304" s="52"/>
      <c r="B304" s="52"/>
      <c r="C304" s="52"/>
      <c r="D304" s="52"/>
      <c r="E304" s="52"/>
    </row>
    <row r="305">
      <c r="A305" s="52"/>
      <c r="B305" s="52"/>
      <c r="C305" s="52"/>
      <c r="D305" s="52"/>
      <c r="E305" s="52"/>
    </row>
    <row r="306">
      <c r="A306" s="52"/>
      <c r="B306" s="52"/>
      <c r="C306" s="52"/>
      <c r="D306" s="52"/>
      <c r="E306" s="52"/>
    </row>
    <row r="307">
      <c r="A307" s="52"/>
      <c r="B307" s="52"/>
      <c r="C307" s="52"/>
      <c r="D307" s="52"/>
      <c r="E307" s="52"/>
    </row>
    <row r="308">
      <c r="A308" s="52"/>
      <c r="B308" s="52"/>
      <c r="C308" s="52"/>
      <c r="D308" s="52"/>
      <c r="E308" s="52"/>
    </row>
    <row r="309">
      <c r="A309" s="52"/>
      <c r="B309" s="52"/>
      <c r="C309" s="52"/>
      <c r="D309" s="52"/>
      <c r="E309" s="52"/>
    </row>
    <row r="310">
      <c r="A310" s="52"/>
      <c r="B310" s="52"/>
      <c r="C310" s="52"/>
      <c r="D310" s="52"/>
      <c r="E310" s="52"/>
    </row>
    <row r="311">
      <c r="A311" s="52"/>
      <c r="B311" s="52"/>
      <c r="C311" s="52"/>
      <c r="D311" s="52"/>
      <c r="E311" s="52"/>
    </row>
    <row r="312">
      <c r="A312" s="52"/>
      <c r="B312" s="52"/>
      <c r="C312" s="52"/>
      <c r="D312" s="52"/>
      <c r="E312" s="52"/>
    </row>
    <row r="313">
      <c r="A313" s="52"/>
      <c r="B313" s="52"/>
      <c r="C313" s="52"/>
      <c r="D313" s="52"/>
      <c r="E313" s="52"/>
    </row>
    <row r="314">
      <c r="A314" s="52"/>
      <c r="B314" s="52"/>
      <c r="C314" s="52"/>
      <c r="D314" s="52"/>
      <c r="E314" s="52"/>
    </row>
    <row r="315">
      <c r="A315" s="52"/>
      <c r="B315" s="52"/>
      <c r="C315" s="52"/>
      <c r="D315" s="52"/>
      <c r="E315" s="52"/>
    </row>
    <row r="316">
      <c r="A316" s="52"/>
      <c r="B316" s="52"/>
      <c r="C316" s="52"/>
      <c r="D316" s="52"/>
      <c r="E316" s="52"/>
    </row>
    <row r="317">
      <c r="A317" s="52"/>
      <c r="B317" s="52"/>
      <c r="C317" s="52"/>
      <c r="D317" s="52"/>
      <c r="E317" s="52"/>
    </row>
    <row r="318">
      <c r="A318" s="52"/>
      <c r="B318" s="52"/>
      <c r="C318" s="52"/>
      <c r="D318" s="52"/>
      <c r="E318" s="52"/>
    </row>
    <row r="319">
      <c r="A319" s="52"/>
      <c r="B319" s="52"/>
      <c r="C319" s="52"/>
      <c r="D319" s="52"/>
      <c r="E319" s="52"/>
    </row>
    <row r="320">
      <c r="A320" s="52"/>
      <c r="B320" s="52"/>
      <c r="C320" s="52"/>
      <c r="D320" s="52"/>
      <c r="E320" s="52"/>
    </row>
    <row r="321">
      <c r="A321" s="52"/>
      <c r="B321" s="52"/>
      <c r="C321" s="52"/>
      <c r="D321" s="52"/>
      <c r="E321" s="52"/>
    </row>
    <row r="322">
      <c r="A322" s="52"/>
      <c r="B322" s="52"/>
      <c r="C322" s="52"/>
      <c r="D322" s="52"/>
      <c r="E322" s="52"/>
    </row>
    <row r="323">
      <c r="A323" s="52"/>
      <c r="B323" s="52"/>
      <c r="C323" s="52"/>
      <c r="D323" s="52"/>
      <c r="E323" s="52"/>
    </row>
    <row r="324">
      <c r="A324" s="52"/>
      <c r="B324" s="52"/>
      <c r="C324" s="52"/>
      <c r="D324" s="52"/>
      <c r="E324" s="52"/>
    </row>
    <row r="325">
      <c r="A325" s="52"/>
      <c r="B325" s="52"/>
      <c r="C325" s="52"/>
      <c r="D325" s="52"/>
      <c r="E325" s="52"/>
    </row>
    <row r="326">
      <c r="A326" s="52"/>
      <c r="B326" s="52"/>
      <c r="C326" s="52"/>
      <c r="D326" s="52"/>
      <c r="E326" s="52"/>
    </row>
    <row r="327">
      <c r="A327" s="52"/>
      <c r="B327" s="52"/>
      <c r="C327" s="52"/>
      <c r="D327" s="52"/>
      <c r="E327" s="52"/>
    </row>
    <row r="328">
      <c r="A328" s="52"/>
      <c r="B328" s="52"/>
      <c r="C328" s="52"/>
      <c r="D328" s="52"/>
      <c r="E328" s="52"/>
    </row>
    <row r="329">
      <c r="A329" s="52"/>
      <c r="B329" s="52"/>
      <c r="C329" s="52"/>
      <c r="D329" s="52"/>
      <c r="E329" s="52"/>
    </row>
    <row r="330">
      <c r="A330" s="52"/>
      <c r="B330" s="52"/>
      <c r="C330" s="52"/>
      <c r="D330" s="52"/>
      <c r="E330" s="52"/>
    </row>
    <row r="331">
      <c r="A331" s="52"/>
      <c r="B331" s="52"/>
      <c r="C331" s="52"/>
      <c r="D331" s="52"/>
      <c r="E331" s="52"/>
    </row>
    <row r="332">
      <c r="A332" s="52"/>
      <c r="B332" s="52"/>
      <c r="C332" s="52"/>
      <c r="D332" s="52"/>
      <c r="E332" s="52"/>
    </row>
    <row r="333">
      <c r="A333" s="52"/>
      <c r="B333" s="52"/>
      <c r="C333" s="52"/>
      <c r="D333" s="52"/>
      <c r="E333" s="52"/>
    </row>
    <row r="334">
      <c r="A334" s="52"/>
      <c r="B334" s="52"/>
      <c r="C334" s="52"/>
      <c r="D334" s="52"/>
      <c r="E334" s="52"/>
    </row>
    <row r="335">
      <c r="A335" s="52"/>
      <c r="B335" s="52"/>
      <c r="C335" s="52"/>
      <c r="D335" s="52"/>
      <c r="E335" s="52"/>
    </row>
    <row r="336">
      <c r="A336" s="52"/>
      <c r="B336" s="52"/>
      <c r="C336" s="52"/>
      <c r="D336" s="52"/>
      <c r="E336" s="52"/>
    </row>
    <row r="337">
      <c r="A337" s="52"/>
      <c r="B337" s="52"/>
      <c r="C337" s="52"/>
      <c r="D337" s="52"/>
      <c r="E337" s="52"/>
    </row>
    <row r="338">
      <c r="A338" s="52"/>
      <c r="B338" s="52"/>
      <c r="C338" s="52"/>
      <c r="D338" s="52"/>
      <c r="E338" s="52"/>
    </row>
    <row r="339">
      <c r="A339" s="52"/>
      <c r="B339" s="52"/>
      <c r="C339" s="52"/>
      <c r="D339" s="52"/>
      <c r="E339" s="52"/>
    </row>
    <row r="340">
      <c r="A340" s="52"/>
      <c r="B340" s="52"/>
      <c r="C340" s="52"/>
      <c r="D340" s="52"/>
      <c r="E340" s="52"/>
    </row>
    <row r="341">
      <c r="A341" s="52"/>
      <c r="B341" s="52"/>
      <c r="C341" s="52"/>
      <c r="D341" s="52"/>
      <c r="E341" s="52"/>
    </row>
    <row r="342">
      <c r="A342" s="52"/>
      <c r="B342" s="52"/>
      <c r="C342" s="52"/>
      <c r="D342" s="52"/>
      <c r="E342" s="52"/>
    </row>
    <row r="343">
      <c r="A343" s="52"/>
      <c r="B343" s="52"/>
      <c r="C343" s="52"/>
      <c r="D343" s="52"/>
      <c r="E343" s="52"/>
    </row>
    <row r="344">
      <c r="A344" s="52"/>
      <c r="B344" s="52"/>
      <c r="C344" s="52"/>
      <c r="D344" s="52"/>
      <c r="E344" s="52"/>
    </row>
    <row r="345">
      <c r="A345" s="52"/>
      <c r="B345" s="52"/>
      <c r="C345" s="52"/>
      <c r="D345" s="52"/>
      <c r="E345" s="52"/>
    </row>
    <row r="346">
      <c r="A346" s="52"/>
      <c r="B346" s="52"/>
      <c r="C346" s="52"/>
      <c r="D346" s="52"/>
      <c r="E346" s="52"/>
    </row>
    <row r="347">
      <c r="A347" s="52"/>
      <c r="B347" s="52"/>
      <c r="C347" s="52"/>
      <c r="D347" s="52"/>
      <c r="E347" s="52"/>
    </row>
    <row r="348">
      <c r="A348" s="52"/>
      <c r="B348" s="52"/>
      <c r="C348" s="52"/>
      <c r="D348" s="52"/>
      <c r="E348" s="52"/>
    </row>
    <row r="349">
      <c r="A349" s="52"/>
      <c r="B349" s="52"/>
      <c r="C349" s="52"/>
      <c r="D349" s="52"/>
      <c r="E349" s="52"/>
    </row>
    <row r="350">
      <c r="A350" s="52"/>
      <c r="B350" s="52"/>
      <c r="C350" s="52"/>
      <c r="D350" s="52"/>
      <c r="E350" s="52"/>
    </row>
    <row r="351">
      <c r="A351" s="52"/>
      <c r="B351" s="52"/>
      <c r="C351" s="52"/>
      <c r="D351" s="52"/>
      <c r="E351" s="52"/>
    </row>
    <row r="352">
      <c r="A352" s="52"/>
      <c r="B352" s="52"/>
      <c r="C352" s="52"/>
      <c r="D352" s="52"/>
      <c r="E352" s="52"/>
    </row>
    <row r="353">
      <c r="A353" s="52"/>
      <c r="B353" s="52"/>
      <c r="C353" s="52"/>
      <c r="D353" s="52"/>
      <c r="E353" s="52"/>
    </row>
    <row r="354">
      <c r="A354" s="52"/>
      <c r="B354" s="52"/>
      <c r="C354" s="52"/>
      <c r="D354" s="52"/>
      <c r="E354" s="52"/>
    </row>
    <row r="355">
      <c r="A355" s="52"/>
      <c r="B355" s="52"/>
      <c r="C355" s="52"/>
      <c r="D355" s="52"/>
      <c r="E355" s="52"/>
    </row>
    <row r="356">
      <c r="A356" s="52"/>
      <c r="B356" s="52"/>
      <c r="C356" s="52"/>
      <c r="D356" s="52"/>
      <c r="E356" s="52"/>
    </row>
    <row r="357">
      <c r="A357" s="52"/>
      <c r="B357" s="52"/>
      <c r="C357" s="52"/>
      <c r="D357" s="52"/>
      <c r="E357" s="52"/>
    </row>
    <row r="358">
      <c r="A358" s="52"/>
      <c r="B358" s="52"/>
      <c r="C358" s="52"/>
      <c r="D358" s="52"/>
      <c r="E358" s="52"/>
    </row>
    <row r="359">
      <c r="A359" s="52"/>
      <c r="B359" s="52"/>
      <c r="C359" s="52"/>
      <c r="D359" s="52"/>
      <c r="E359" s="52"/>
    </row>
    <row r="360">
      <c r="A360" s="52"/>
      <c r="B360" s="52"/>
      <c r="C360" s="52"/>
      <c r="D360" s="52"/>
      <c r="E360" s="52"/>
    </row>
    <row r="361">
      <c r="A361" s="52"/>
      <c r="B361" s="52"/>
      <c r="C361" s="52"/>
      <c r="D361" s="52"/>
      <c r="E361" s="52"/>
    </row>
    <row r="362">
      <c r="A362" s="52"/>
      <c r="B362" s="52"/>
      <c r="C362" s="52"/>
      <c r="D362" s="52"/>
      <c r="E362" s="52"/>
    </row>
    <row r="363">
      <c r="A363" s="52"/>
      <c r="B363" s="52"/>
      <c r="C363" s="52"/>
      <c r="D363" s="52"/>
      <c r="E363" s="52"/>
    </row>
    <row r="364">
      <c r="A364" s="52"/>
      <c r="B364" s="52"/>
      <c r="C364" s="52"/>
      <c r="D364" s="52"/>
      <c r="E364" s="52"/>
    </row>
    <row r="365">
      <c r="A365" s="52"/>
      <c r="B365" s="52"/>
      <c r="C365" s="52"/>
      <c r="D365" s="52"/>
      <c r="E365" s="52"/>
    </row>
    <row r="366">
      <c r="A366" s="52"/>
      <c r="B366" s="52"/>
      <c r="C366" s="52"/>
      <c r="D366" s="52"/>
      <c r="E366" s="52"/>
    </row>
    <row r="367">
      <c r="A367" s="52"/>
      <c r="B367" s="52"/>
      <c r="C367" s="52"/>
      <c r="D367" s="52"/>
      <c r="E367" s="52"/>
    </row>
    <row r="368">
      <c r="A368" s="52"/>
      <c r="B368" s="52"/>
      <c r="C368" s="52"/>
      <c r="D368" s="52"/>
      <c r="E368" s="52"/>
    </row>
    <row r="369">
      <c r="A369" s="52"/>
      <c r="B369" s="52"/>
      <c r="C369" s="52"/>
      <c r="D369" s="52"/>
      <c r="E369" s="52"/>
    </row>
    <row r="370">
      <c r="A370" s="52"/>
      <c r="B370" s="52"/>
      <c r="C370" s="52"/>
      <c r="D370" s="52"/>
      <c r="E370" s="52"/>
    </row>
    <row r="371">
      <c r="A371" s="52"/>
      <c r="B371" s="52"/>
      <c r="C371" s="52"/>
      <c r="D371" s="52"/>
      <c r="E371" s="52"/>
    </row>
    <row r="372">
      <c r="A372" s="52"/>
      <c r="B372" s="52"/>
      <c r="C372" s="52"/>
      <c r="D372" s="52"/>
      <c r="E372" s="52"/>
    </row>
    <row r="373">
      <c r="A373" s="52"/>
      <c r="B373" s="52"/>
      <c r="C373" s="52"/>
      <c r="D373" s="52"/>
      <c r="E373" s="52"/>
    </row>
    <row r="374">
      <c r="A374" s="52"/>
      <c r="B374" s="52"/>
      <c r="C374" s="52"/>
      <c r="D374" s="52"/>
      <c r="E374" s="52"/>
    </row>
    <row r="375">
      <c r="A375" s="52"/>
      <c r="B375" s="52"/>
      <c r="C375" s="52"/>
      <c r="D375" s="52"/>
      <c r="E375" s="52"/>
    </row>
    <row r="376">
      <c r="A376" s="52"/>
      <c r="B376" s="52"/>
      <c r="C376" s="52"/>
      <c r="D376" s="52"/>
      <c r="E376" s="52"/>
    </row>
    <row r="377">
      <c r="A377" s="52"/>
      <c r="B377" s="52"/>
      <c r="C377" s="52"/>
      <c r="D377" s="52"/>
      <c r="E377" s="52"/>
    </row>
    <row r="378">
      <c r="A378" s="52"/>
      <c r="B378" s="52"/>
      <c r="C378" s="52"/>
      <c r="D378" s="52"/>
      <c r="E378" s="52"/>
    </row>
    <row r="379">
      <c r="A379" s="52"/>
      <c r="B379" s="52"/>
      <c r="C379" s="52"/>
      <c r="D379" s="52"/>
      <c r="E379" s="52"/>
    </row>
    <row r="380">
      <c r="A380" s="52"/>
      <c r="B380" s="52"/>
      <c r="C380" s="52"/>
      <c r="D380" s="52"/>
      <c r="E380" s="52"/>
    </row>
    <row r="381">
      <c r="A381" s="52"/>
      <c r="B381" s="52"/>
      <c r="C381" s="52"/>
      <c r="D381" s="52"/>
      <c r="E381" s="52"/>
    </row>
    <row r="382">
      <c r="A382" s="52"/>
      <c r="B382" s="52"/>
      <c r="C382" s="52"/>
      <c r="D382" s="52"/>
      <c r="E382" s="52"/>
    </row>
    <row r="383">
      <c r="A383" s="52"/>
      <c r="B383" s="52"/>
      <c r="C383" s="52"/>
      <c r="D383" s="52"/>
      <c r="E383" s="52"/>
    </row>
    <row r="384">
      <c r="A384" s="52"/>
      <c r="B384" s="52"/>
      <c r="C384" s="52"/>
      <c r="D384" s="52"/>
      <c r="E384" s="52"/>
    </row>
    <row r="385">
      <c r="A385" s="52"/>
      <c r="B385" s="52"/>
      <c r="C385" s="52"/>
      <c r="D385" s="52"/>
      <c r="E385" s="52"/>
    </row>
    <row r="386">
      <c r="A386" s="52"/>
      <c r="B386" s="52"/>
      <c r="C386" s="52"/>
      <c r="D386" s="52"/>
      <c r="E386" s="52"/>
    </row>
    <row r="387">
      <c r="A387" s="52"/>
      <c r="B387" s="52"/>
      <c r="C387" s="52"/>
      <c r="D387" s="52"/>
      <c r="E387" s="52"/>
    </row>
    <row r="388">
      <c r="A388" s="52"/>
      <c r="B388" s="52"/>
      <c r="C388" s="52"/>
      <c r="D388" s="52"/>
      <c r="E388" s="52"/>
    </row>
    <row r="389">
      <c r="A389" s="52"/>
      <c r="B389" s="52"/>
      <c r="C389" s="52"/>
      <c r="D389" s="52"/>
      <c r="E389" s="52"/>
    </row>
    <row r="390">
      <c r="A390" s="52"/>
      <c r="B390" s="52"/>
      <c r="C390" s="52"/>
      <c r="D390" s="52"/>
      <c r="E390" s="52"/>
    </row>
    <row r="391">
      <c r="A391" s="52"/>
      <c r="B391" s="52"/>
      <c r="C391" s="52"/>
      <c r="D391" s="52"/>
      <c r="E391" s="52"/>
    </row>
    <row r="392">
      <c r="A392" s="52"/>
      <c r="B392" s="52"/>
      <c r="C392" s="52"/>
      <c r="D392" s="52"/>
      <c r="E392" s="52"/>
    </row>
    <row r="393">
      <c r="A393" s="52"/>
      <c r="B393" s="52"/>
      <c r="C393" s="52"/>
      <c r="D393" s="52"/>
      <c r="E393" s="52"/>
    </row>
    <row r="394">
      <c r="A394" s="52"/>
      <c r="B394" s="52"/>
      <c r="C394" s="52"/>
      <c r="D394" s="52"/>
      <c r="E394" s="52"/>
    </row>
    <row r="395">
      <c r="A395" s="52"/>
      <c r="B395" s="52"/>
      <c r="C395" s="52"/>
      <c r="D395" s="52"/>
      <c r="E395" s="52"/>
    </row>
    <row r="396">
      <c r="A396" s="52"/>
      <c r="B396" s="52"/>
      <c r="C396" s="52"/>
      <c r="D396" s="52"/>
      <c r="E396" s="52"/>
    </row>
    <row r="397">
      <c r="A397" s="52"/>
      <c r="B397" s="52"/>
      <c r="C397" s="52"/>
      <c r="D397" s="52"/>
      <c r="E397" s="52"/>
    </row>
    <row r="398">
      <c r="A398" s="52"/>
      <c r="B398" s="52"/>
      <c r="C398" s="52"/>
      <c r="D398" s="52"/>
      <c r="E398" s="52"/>
    </row>
    <row r="399">
      <c r="A399" s="52"/>
      <c r="B399" s="52"/>
      <c r="C399" s="52"/>
      <c r="D399" s="52"/>
      <c r="E399" s="52"/>
    </row>
    <row r="400">
      <c r="A400" s="52"/>
      <c r="B400" s="52"/>
      <c r="C400" s="52"/>
      <c r="D400" s="52"/>
      <c r="E400" s="52"/>
    </row>
    <row r="401">
      <c r="A401" s="52"/>
      <c r="B401" s="52"/>
      <c r="C401" s="52"/>
      <c r="D401" s="52"/>
      <c r="E401" s="52"/>
    </row>
    <row r="402">
      <c r="A402" s="52"/>
      <c r="B402" s="52"/>
      <c r="C402" s="52"/>
      <c r="D402" s="52"/>
      <c r="E402" s="52"/>
    </row>
    <row r="403">
      <c r="A403" s="52"/>
      <c r="B403" s="52"/>
      <c r="C403" s="52"/>
      <c r="D403" s="52"/>
      <c r="E403" s="52"/>
    </row>
    <row r="404">
      <c r="A404" s="52"/>
      <c r="B404" s="52"/>
      <c r="C404" s="52"/>
      <c r="D404" s="52"/>
      <c r="E404" s="52"/>
    </row>
    <row r="405">
      <c r="A405" s="52"/>
      <c r="B405" s="52"/>
      <c r="C405" s="52"/>
      <c r="D405" s="52"/>
      <c r="E405" s="52"/>
    </row>
    <row r="406">
      <c r="A406" s="52"/>
      <c r="B406" s="52"/>
      <c r="C406" s="52"/>
      <c r="D406" s="52"/>
      <c r="E406" s="52"/>
    </row>
    <row r="407">
      <c r="A407" s="52"/>
      <c r="B407" s="52"/>
      <c r="C407" s="52"/>
      <c r="D407" s="52"/>
      <c r="E407" s="52"/>
    </row>
    <row r="408">
      <c r="A408" s="52"/>
      <c r="B408" s="52"/>
      <c r="C408" s="52"/>
      <c r="D408" s="52"/>
      <c r="E408" s="52"/>
    </row>
    <row r="409">
      <c r="A409" s="52"/>
      <c r="B409" s="52"/>
      <c r="C409" s="52"/>
      <c r="D409" s="52"/>
      <c r="E409" s="52"/>
    </row>
    <row r="410">
      <c r="A410" s="52"/>
      <c r="B410" s="52"/>
      <c r="C410" s="52"/>
      <c r="D410" s="52"/>
      <c r="E410" s="52"/>
    </row>
    <row r="411">
      <c r="A411" s="52"/>
      <c r="B411" s="52"/>
      <c r="C411" s="52"/>
      <c r="D411" s="52"/>
      <c r="E411" s="52"/>
    </row>
    <row r="412">
      <c r="A412" s="52"/>
      <c r="B412" s="52"/>
      <c r="C412" s="52"/>
      <c r="D412" s="52"/>
      <c r="E412" s="52"/>
    </row>
    <row r="413">
      <c r="A413" s="52"/>
      <c r="B413" s="52"/>
      <c r="C413" s="52"/>
      <c r="D413" s="52"/>
      <c r="E413" s="52"/>
    </row>
    <row r="414">
      <c r="A414" s="52"/>
      <c r="B414" s="52"/>
      <c r="C414" s="52"/>
      <c r="D414" s="52"/>
      <c r="E414" s="52"/>
    </row>
    <row r="415">
      <c r="A415" s="52"/>
      <c r="B415" s="52"/>
      <c r="C415" s="52"/>
      <c r="D415" s="52"/>
      <c r="E415" s="52"/>
    </row>
    <row r="416">
      <c r="A416" s="52"/>
      <c r="B416" s="52"/>
      <c r="C416" s="52"/>
      <c r="D416" s="52"/>
      <c r="E416" s="52"/>
    </row>
    <row r="417">
      <c r="A417" s="52"/>
      <c r="B417" s="52"/>
      <c r="C417" s="52"/>
      <c r="D417" s="52"/>
      <c r="E417" s="52"/>
    </row>
    <row r="418">
      <c r="A418" s="52"/>
      <c r="B418" s="52"/>
      <c r="C418" s="52"/>
      <c r="D418" s="52"/>
      <c r="E418" s="52"/>
    </row>
    <row r="419">
      <c r="A419" s="52"/>
      <c r="B419" s="52"/>
      <c r="C419" s="52"/>
      <c r="D419" s="52"/>
      <c r="E419" s="52"/>
    </row>
    <row r="420">
      <c r="A420" s="52"/>
      <c r="B420" s="52"/>
      <c r="C420" s="52"/>
      <c r="D420" s="52"/>
      <c r="E420" s="52"/>
    </row>
    <row r="421">
      <c r="A421" s="52"/>
      <c r="B421" s="52"/>
      <c r="C421" s="52"/>
      <c r="D421" s="52"/>
      <c r="E421" s="52"/>
    </row>
    <row r="422">
      <c r="A422" s="52"/>
      <c r="B422" s="52"/>
      <c r="C422" s="52"/>
      <c r="D422" s="52"/>
      <c r="E422" s="52"/>
    </row>
    <row r="423">
      <c r="A423" s="52"/>
      <c r="B423" s="52"/>
      <c r="C423" s="52"/>
      <c r="D423" s="52"/>
      <c r="E423" s="52"/>
    </row>
    <row r="424">
      <c r="A424" s="52"/>
      <c r="B424" s="52"/>
      <c r="C424" s="52"/>
      <c r="D424" s="52"/>
      <c r="E424" s="52"/>
    </row>
    <row r="425">
      <c r="A425" s="52"/>
      <c r="B425" s="52"/>
      <c r="C425" s="52"/>
      <c r="D425" s="52"/>
      <c r="E425" s="52"/>
    </row>
    <row r="426">
      <c r="A426" s="52"/>
      <c r="B426" s="52"/>
      <c r="C426" s="52"/>
      <c r="D426" s="52"/>
      <c r="E426" s="52"/>
    </row>
    <row r="427">
      <c r="A427" s="52"/>
      <c r="B427" s="52"/>
      <c r="C427" s="52"/>
      <c r="D427" s="52"/>
      <c r="E427" s="52"/>
    </row>
    <row r="428">
      <c r="A428" s="52"/>
      <c r="B428" s="52"/>
      <c r="C428" s="52"/>
      <c r="D428" s="52"/>
      <c r="E428" s="52"/>
    </row>
    <row r="429">
      <c r="A429" s="52"/>
      <c r="B429" s="52"/>
      <c r="C429" s="52"/>
      <c r="D429" s="52"/>
      <c r="E429" s="52"/>
    </row>
    <row r="430">
      <c r="A430" s="52"/>
      <c r="B430" s="52"/>
      <c r="C430" s="52"/>
      <c r="D430" s="52"/>
      <c r="E430" s="52"/>
    </row>
    <row r="431">
      <c r="A431" s="52"/>
      <c r="B431" s="52"/>
      <c r="C431" s="52"/>
      <c r="D431" s="52"/>
      <c r="E431" s="52"/>
    </row>
    <row r="432">
      <c r="A432" s="52"/>
      <c r="B432" s="52"/>
      <c r="C432" s="52"/>
      <c r="D432" s="52"/>
      <c r="E432" s="52"/>
    </row>
    <row r="433">
      <c r="A433" s="52"/>
      <c r="B433" s="52"/>
      <c r="C433" s="52"/>
      <c r="D433" s="52"/>
      <c r="E433" s="52"/>
    </row>
    <row r="434">
      <c r="A434" s="52"/>
      <c r="B434" s="52"/>
      <c r="C434" s="52"/>
      <c r="D434" s="52"/>
      <c r="E434" s="52"/>
    </row>
    <row r="435">
      <c r="A435" s="52"/>
      <c r="B435" s="52"/>
      <c r="C435" s="52"/>
      <c r="D435" s="52"/>
      <c r="E435" s="52"/>
    </row>
    <row r="436">
      <c r="A436" s="52"/>
      <c r="B436" s="52"/>
      <c r="C436" s="52"/>
      <c r="D436" s="52"/>
      <c r="E436" s="52"/>
    </row>
    <row r="437">
      <c r="A437" s="52"/>
      <c r="B437" s="52"/>
      <c r="C437" s="52"/>
      <c r="D437" s="52"/>
      <c r="E437" s="52"/>
    </row>
    <row r="438">
      <c r="A438" s="52"/>
      <c r="B438" s="52"/>
      <c r="C438" s="52"/>
      <c r="D438" s="52"/>
      <c r="E438" s="52"/>
    </row>
    <row r="439">
      <c r="A439" s="52"/>
      <c r="B439" s="52"/>
      <c r="C439" s="52"/>
      <c r="D439" s="52"/>
      <c r="E439" s="52"/>
    </row>
    <row r="440">
      <c r="A440" s="52"/>
      <c r="B440" s="52"/>
      <c r="C440" s="52"/>
      <c r="D440" s="52"/>
      <c r="E440" s="52"/>
    </row>
    <row r="441">
      <c r="A441" s="52"/>
      <c r="B441" s="52"/>
      <c r="C441" s="52"/>
      <c r="D441" s="52"/>
      <c r="E441" s="52"/>
    </row>
    <row r="442">
      <c r="A442" s="52"/>
      <c r="B442" s="52"/>
      <c r="C442" s="52"/>
      <c r="D442" s="52"/>
      <c r="E442" s="52"/>
    </row>
    <row r="443">
      <c r="A443" s="52"/>
      <c r="B443" s="52"/>
      <c r="C443" s="52"/>
      <c r="D443" s="52"/>
      <c r="E443" s="52"/>
    </row>
    <row r="444">
      <c r="A444" s="52"/>
      <c r="B444" s="52"/>
      <c r="C444" s="52"/>
      <c r="D444" s="52"/>
      <c r="E444" s="52"/>
    </row>
    <row r="445">
      <c r="A445" s="52"/>
      <c r="B445" s="52"/>
      <c r="C445" s="52"/>
      <c r="D445" s="52"/>
      <c r="E445" s="52"/>
    </row>
    <row r="446">
      <c r="A446" s="52"/>
      <c r="B446" s="52"/>
      <c r="C446" s="52"/>
      <c r="D446" s="52"/>
      <c r="E446" s="52"/>
    </row>
    <row r="447">
      <c r="A447" s="52"/>
      <c r="B447" s="52"/>
      <c r="C447" s="52"/>
      <c r="D447" s="52"/>
      <c r="E447" s="52"/>
    </row>
    <row r="448">
      <c r="A448" s="52"/>
      <c r="B448" s="52"/>
      <c r="C448" s="52"/>
      <c r="D448" s="52"/>
      <c r="E448" s="52"/>
    </row>
    <row r="449">
      <c r="A449" s="52"/>
      <c r="B449" s="52"/>
      <c r="C449" s="52"/>
      <c r="D449" s="52"/>
      <c r="E449" s="52"/>
    </row>
    <row r="450">
      <c r="A450" s="52"/>
      <c r="B450" s="52"/>
      <c r="C450" s="52"/>
      <c r="D450" s="52"/>
      <c r="E450" s="52"/>
    </row>
    <row r="451">
      <c r="A451" s="52"/>
      <c r="B451" s="52"/>
      <c r="C451" s="52"/>
      <c r="D451" s="52"/>
      <c r="E451" s="52"/>
    </row>
    <row r="452">
      <c r="A452" s="52"/>
      <c r="B452" s="52"/>
      <c r="C452" s="52"/>
      <c r="D452" s="52"/>
      <c r="E452" s="52"/>
    </row>
    <row r="453">
      <c r="A453" s="52"/>
      <c r="B453" s="52"/>
      <c r="C453" s="52"/>
      <c r="D453" s="52"/>
      <c r="E453" s="52"/>
    </row>
    <row r="454">
      <c r="A454" s="52"/>
      <c r="B454" s="52"/>
      <c r="C454" s="52"/>
      <c r="D454" s="52"/>
      <c r="E454" s="52"/>
    </row>
    <row r="455">
      <c r="A455" s="52"/>
      <c r="B455" s="52"/>
      <c r="C455" s="52"/>
      <c r="D455" s="52"/>
      <c r="E455" s="52"/>
    </row>
    <row r="456">
      <c r="A456" s="52"/>
      <c r="B456" s="52"/>
      <c r="C456" s="52"/>
      <c r="D456" s="52"/>
      <c r="E456" s="52"/>
    </row>
    <row r="457">
      <c r="A457" s="52"/>
      <c r="B457" s="52"/>
      <c r="C457" s="52"/>
      <c r="D457" s="52"/>
      <c r="E457" s="52"/>
    </row>
    <row r="458">
      <c r="A458" s="52"/>
      <c r="B458" s="52"/>
      <c r="C458" s="52"/>
      <c r="D458" s="52"/>
      <c r="E458" s="52"/>
    </row>
    <row r="459">
      <c r="A459" s="52"/>
      <c r="B459" s="52"/>
      <c r="C459" s="52"/>
      <c r="D459" s="52"/>
      <c r="E459" s="52"/>
    </row>
    <row r="460">
      <c r="A460" s="52"/>
      <c r="B460" s="52"/>
      <c r="C460" s="52"/>
      <c r="D460" s="52"/>
      <c r="E460" s="52"/>
    </row>
    <row r="461">
      <c r="A461" s="52"/>
      <c r="B461" s="52"/>
      <c r="C461" s="52"/>
      <c r="D461" s="52"/>
      <c r="E461" s="52"/>
    </row>
    <row r="462">
      <c r="A462" s="52"/>
      <c r="B462" s="52"/>
      <c r="C462" s="52"/>
      <c r="D462" s="52"/>
      <c r="E462" s="52"/>
    </row>
    <row r="463">
      <c r="A463" s="52"/>
      <c r="B463" s="52"/>
      <c r="C463" s="52"/>
      <c r="D463" s="52"/>
      <c r="E463" s="52"/>
    </row>
    <row r="464">
      <c r="A464" s="52"/>
      <c r="B464" s="52"/>
      <c r="C464" s="52"/>
      <c r="D464" s="52"/>
      <c r="E464" s="52"/>
    </row>
    <row r="465">
      <c r="A465" s="52"/>
      <c r="B465" s="52"/>
      <c r="C465" s="52"/>
      <c r="D465" s="52"/>
      <c r="E465" s="52"/>
    </row>
    <row r="466">
      <c r="A466" s="52"/>
      <c r="B466" s="52"/>
      <c r="C466" s="52"/>
      <c r="D466" s="52"/>
      <c r="E466" s="52"/>
    </row>
    <row r="467">
      <c r="A467" s="52"/>
      <c r="B467" s="52"/>
      <c r="C467" s="52"/>
      <c r="D467" s="52"/>
      <c r="E467" s="52"/>
    </row>
    <row r="468">
      <c r="A468" s="52"/>
      <c r="B468" s="52"/>
      <c r="C468" s="52"/>
      <c r="D468" s="52"/>
      <c r="E468" s="52"/>
    </row>
    <row r="469">
      <c r="A469" s="52"/>
      <c r="B469" s="52"/>
      <c r="C469" s="52"/>
      <c r="D469" s="52"/>
      <c r="E469" s="52"/>
    </row>
    <row r="470">
      <c r="A470" s="52"/>
      <c r="B470" s="52"/>
      <c r="C470" s="52"/>
      <c r="D470" s="52"/>
      <c r="E470" s="52"/>
    </row>
    <row r="471">
      <c r="A471" s="52"/>
      <c r="B471" s="52"/>
      <c r="C471" s="52"/>
      <c r="D471" s="52"/>
      <c r="E471" s="52"/>
    </row>
    <row r="472">
      <c r="A472" s="52"/>
      <c r="B472" s="52"/>
      <c r="C472" s="52"/>
      <c r="D472" s="52"/>
      <c r="E472" s="52"/>
    </row>
    <row r="473">
      <c r="A473" s="52"/>
      <c r="B473" s="52"/>
      <c r="C473" s="52"/>
      <c r="D473" s="52"/>
      <c r="E473" s="52"/>
    </row>
    <row r="474">
      <c r="A474" s="52"/>
      <c r="B474" s="52"/>
      <c r="C474" s="52"/>
      <c r="D474" s="52"/>
      <c r="E474" s="52"/>
    </row>
    <row r="475">
      <c r="A475" s="52"/>
      <c r="B475" s="52"/>
      <c r="C475" s="52"/>
      <c r="D475" s="52"/>
      <c r="E475" s="52"/>
    </row>
    <row r="476">
      <c r="A476" s="52"/>
      <c r="B476" s="52"/>
      <c r="C476" s="52"/>
      <c r="D476" s="52"/>
      <c r="E476" s="52"/>
    </row>
    <row r="477">
      <c r="A477" s="52"/>
      <c r="B477" s="52"/>
      <c r="C477" s="52"/>
      <c r="D477" s="52"/>
      <c r="E477" s="52"/>
    </row>
    <row r="478">
      <c r="A478" s="52"/>
      <c r="B478" s="52"/>
      <c r="C478" s="52"/>
      <c r="D478" s="52"/>
      <c r="E478" s="52"/>
    </row>
    <row r="479">
      <c r="A479" s="52"/>
      <c r="B479" s="52"/>
      <c r="C479" s="52"/>
      <c r="D479" s="52"/>
      <c r="E479" s="52"/>
    </row>
    <row r="480">
      <c r="A480" s="52"/>
      <c r="B480" s="52"/>
      <c r="C480" s="52"/>
      <c r="D480" s="52"/>
      <c r="E480" s="52"/>
    </row>
    <row r="481">
      <c r="A481" s="52"/>
      <c r="B481" s="52"/>
      <c r="C481" s="52"/>
      <c r="D481" s="52"/>
      <c r="E481" s="52"/>
    </row>
    <row r="482">
      <c r="A482" s="52"/>
      <c r="B482" s="52"/>
      <c r="C482" s="52"/>
      <c r="D482" s="52"/>
      <c r="E482" s="52"/>
    </row>
    <row r="483">
      <c r="A483" s="52"/>
      <c r="B483" s="52"/>
      <c r="C483" s="52"/>
      <c r="D483" s="52"/>
      <c r="E483" s="52"/>
    </row>
    <row r="484">
      <c r="A484" s="52"/>
      <c r="B484" s="52"/>
      <c r="C484" s="52"/>
      <c r="D484" s="52"/>
      <c r="E484" s="52"/>
    </row>
    <row r="485">
      <c r="A485" s="52"/>
      <c r="B485" s="52"/>
      <c r="C485" s="52"/>
      <c r="D485" s="52"/>
      <c r="E485" s="52"/>
    </row>
    <row r="486">
      <c r="A486" s="52"/>
      <c r="B486" s="52"/>
      <c r="C486" s="52"/>
      <c r="D486" s="52"/>
      <c r="E486" s="52"/>
    </row>
    <row r="487">
      <c r="A487" s="52"/>
      <c r="B487" s="52"/>
      <c r="C487" s="52"/>
      <c r="D487" s="52"/>
      <c r="E487" s="52"/>
    </row>
    <row r="488">
      <c r="A488" s="52"/>
      <c r="B488" s="52"/>
      <c r="C488" s="52"/>
      <c r="D488" s="52"/>
      <c r="E488" s="52"/>
    </row>
    <row r="489">
      <c r="A489" s="52"/>
      <c r="B489" s="52"/>
      <c r="C489" s="52"/>
      <c r="D489" s="52"/>
      <c r="E489" s="52"/>
    </row>
    <row r="490">
      <c r="A490" s="52"/>
      <c r="B490" s="52"/>
      <c r="C490" s="52"/>
      <c r="D490" s="52"/>
      <c r="E490" s="52"/>
    </row>
    <row r="491">
      <c r="A491" s="52"/>
      <c r="B491" s="52"/>
      <c r="C491" s="52"/>
      <c r="D491" s="52"/>
      <c r="E491" s="52"/>
    </row>
    <row r="492">
      <c r="A492" s="52"/>
      <c r="B492" s="52"/>
      <c r="C492" s="52"/>
      <c r="D492" s="52"/>
      <c r="E492" s="52"/>
    </row>
    <row r="493">
      <c r="A493" s="52"/>
      <c r="B493" s="52"/>
      <c r="C493" s="52"/>
      <c r="D493" s="52"/>
      <c r="E493" s="52"/>
    </row>
    <row r="494">
      <c r="A494" s="52"/>
      <c r="B494" s="52"/>
      <c r="C494" s="52"/>
      <c r="D494" s="52"/>
      <c r="E494" s="52"/>
    </row>
    <row r="495">
      <c r="A495" s="52"/>
      <c r="B495" s="52"/>
      <c r="C495" s="52"/>
      <c r="D495" s="52"/>
      <c r="E495" s="52"/>
    </row>
    <row r="496">
      <c r="A496" s="52"/>
      <c r="B496" s="52"/>
      <c r="C496" s="52"/>
      <c r="D496" s="52"/>
      <c r="E496" s="52"/>
    </row>
    <row r="497">
      <c r="A497" s="52"/>
      <c r="B497" s="52"/>
      <c r="C497" s="52"/>
      <c r="D497" s="52"/>
      <c r="E497" s="52"/>
    </row>
    <row r="498">
      <c r="A498" s="52"/>
      <c r="B498" s="52"/>
      <c r="C498" s="52"/>
      <c r="D498" s="52"/>
      <c r="E498" s="52"/>
    </row>
    <row r="499">
      <c r="A499" s="52"/>
      <c r="B499" s="52"/>
      <c r="C499" s="52"/>
      <c r="D499" s="52"/>
      <c r="E499" s="52"/>
    </row>
    <row r="500">
      <c r="A500" s="52"/>
      <c r="B500" s="52"/>
      <c r="C500" s="52"/>
      <c r="D500" s="52"/>
      <c r="E500" s="52"/>
    </row>
    <row r="501">
      <c r="A501" s="52"/>
      <c r="B501" s="52"/>
      <c r="C501" s="52"/>
      <c r="D501" s="52"/>
      <c r="E501" s="52"/>
    </row>
    <row r="502">
      <c r="A502" s="52"/>
      <c r="B502" s="52"/>
      <c r="C502" s="52"/>
      <c r="D502" s="52"/>
      <c r="E502" s="52"/>
    </row>
    <row r="503">
      <c r="A503" s="52"/>
      <c r="B503" s="52"/>
      <c r="C503" s="52"/>
      <c r="D503" s="52"/>
      <c r="E503" s="52"/>
    </row>
    <row r="504">
      <c r="A504" s="52"/>
      <c r="B504" s="52"/>
      <c r="C504" s="52"/>
      <c r="D504" s="52"/>
      <c r="E504" s="52"/>
    </row>
    <row r="505">
      <c r="A505" s="52"/>
      <c r="B505" s="52"/>
      <c r="C505" s="52"/>
      <c r="D505" s="52"/>
      <c r="E505" s="52"/>
    </row>
    <row r="506">
      <c r="A506" s="52"/>
      <c r="B506" s="52"/>
      <c r="C506" s="52"/>
      <c r="D506" s="52"/>
      <c r="E506" s="52"/>
    </row>
    <row r="507">
      <c r="A507" s="52"/>
      <c r="B507" s="52"/>
      <c r="C507" s="52"/>
      <c r="D507" s="52"/>
      <c r="E507" s="52"/>
    </row>
    <row r="508">
      <c r="A508" s="52"/>
      <c r="B508" s="52"/>
      <c r="C508" s="52"/>
      <c r="D508" s="52"/>
      <c r="E508" s="52"/>
    </row>
    <row r="509">
      <c r="A509" s="52"/>
      <c r="B509" s="52"/>
      <c r="C509" s="52"/>
      <c r="D509" s="52"/>
      <c r="E509" s="52"/>
    </row>
    <row r="510">
      <c r="A510" s="52"/>
      <c r="B510" s="52"/>
      <c r="C510" s="52"/>
      <c r="D510" s="52"/>
      <c r="E510" s="52"/>
    </row>
    <row r="511">
      <c r="A511" s="52"/>
      <c r="B511" s="52"/>
      <c r="C511" s="52"/>
      <c r="D511" s="52"/>
      <c r="E511" s="52"/>
    </row>
    <row r="512">
      <c r="A512" s="52"/>
      <c r="B512" s="52"/>
      <c r="C512" s="52"/>
      <c r="D512" s="52"/>
      <c r="E512" s="52"/>
    </row>
    <row r="513">
      <c r="A513" s="52"/>
      <c r="B513" s="52"/>
      <c r="C513" s="52"/>
      <c r="D513" s="52"/>
      <c r="E513" s="52"/>
    </row>
    <row r="514">
      <c r="A514" s="52"/>
      <c r="B514" s="52"/>
      <c r="C514" s="52"/>
      <c r="D514" s="52"/>
      <c r="E514" s="52"/>
    </row>
    <row r="515">
      <c r="A515" s="52"/>
      <c r="B515" s="52"/>
      <c r="C515" s="52"/>
      <c r="D515" s="52"/>
      <c r="E515" s="52"/>
    </row>
    <row r="516">
      <c r="A516" s="52"/>
      <c r="B516" s="52"/>
      <c r="C516" s="52"/>
      <c r="D516" s="52"/>
      <c r="E516" s="52"/>
    </row>
    <row r="517">
      <c r="A517" s="52"/>
      <c r="B517" s="52"/>
      <c r="C517" s="52"/>
      <c r="D517" s="52"/>
      <c r="E517" s="52"/>
    </row>
    <row r="518">
      <c r="A518" s="52"/>
      <c r="B518" s="52"/>
      <c r="C518" s="52"/>
      <c r="D518" s="52"/>
      <c r="E518" s="52"/>
    </row>
    <row r="519">
      <c r="A519" s="52"/>
      <c r="B519" s="52"/>
      <c r="C519" s="52"/>
      <c r="D519" s="52"/>
      <c r="E519" s="52"/>
    </row>
    <row r="520">
      <c r="A520" s="52"/>
      <c r="B520" s="52"/>
      <c r="C520" s="52"/>
      <c r="D520" s="52"/>
      <c r="E520" s="52"/>
    </row>
    <row r="521">
      <c r="A521" s="52"/>
      <c r="B521" s="52"/>
      <c r="C521" s="52"/>
      <c r="D521" s="52"/>
      <c r="E521" s="52"/>
    </row>
    <row r="522">
      <c r="A522" s="52"/>
      <c r="B522" s="52"/>
      <c r="C522" s="52"/>
      <c r="D522" s="52"/>
      <c r="E522" s="52"/>
    </row>
    <row r="523">
      <c r="A523" s="52"/>
      <c r="B523" s="52"/>
      <c r="C523" s="52"/>
      <c r="D523" s="52"/>
      <c r="E523" s="52"/>
    </row>
    <row r="524">
      <c r="A524" s="52"/>
      <c r="B524" s="52"/>
      <c r="C524" s="52"/>
      <c r="D524" s="52"/>
      <c r="E524" s="52"/>
    </row>
    <row r="525">
      <c r="A525" s="52"/>
      <c r="B525" s="52"/>
      <c r="C525" s="52"/>
      <c r="D525" s="52"/>
      <c r="E525" s="52"/>
    </row>
    <row r="526">
      <c r="A526" s="52"/>
      <c r="B526" s="52"/>
      <c r="C526" s="52"/>
      <c r="D526" s="52"/>
      <c r="E526" s="52"/>
    </row>
    <row r="527">
      <c r="A527" s="52"/>
      <c r="B527" s="52"/>
      <c r="C527" s="52"/>
      <c r="D527" s="52"/>
      <c r="E527" s="52"/>
    </row>
    <row r="528">
      <c r="A528" s="52"/>
      <c r="B528" s="52"/>
      <c r="C528" s="52"/>
      <c r="D528" s="52"/>
      <c r="E528" s="52"/>
    </row>
    <row r="529">
      <c r="A529" s="52"/>
      <c r="B529" s="52"/>
      <c r="C529" s="52"/>
      <c r="D529" s="52"/>
      <c r="E529" s="52"/>
    </row>
    <row r="530">
      <c r="A530" s="52"/>
      <c r="B530" s="52"/>
      <c r="C530" s="52"/>
      <c r="D530" s="52"/>
      <c r="E530" s="52"/>
    </row>
    <row r="531">
      <c r="A531" s="52"/>
      <c r="B531" s="52"/>
      <c r="C531" s="52"/>
      <c r="D531" s="52"/>
      <c r="E531" s="52"/>
    </row>
    <row r="532">
      <c r="A532" s="52"/>
      <c r="B532" s="52"/>
      <c r="C532" s="52"/>
      <c r="D532" s="52"/>
      <c r="E532" s="52"/>
    </row>
    <row r="533">
      <c r="A533" s="52"/>
      <c r="B533" s="52"/>
      <c r="C533" s="52"/>
      <c r="D533" s="52"/>
      <c r="E533" s="52"/>
    </row>
    <row r="534">
      <c r="A534" s="52"/>
      <c r="B534" s="52"/>
      <c r="C534" s="52"/>
      <c r="D534" s="52"/>
      <c r="E534" s="52"/>
    </row>
    <row r="535">
      <c r="A535" s="52"/>
      <c r="B535" s="52"/>
      <c r="C535" s="52"/>
      <c r="D535" s="52"/>
      <c r="E535" s="52"/>
    </row>
    <row r="536">
      <c r="A536" s="52"/>
      <c r="B536" s="52"/>
      <c r="C536" s="52"/>
      <c r="D536" s="52"/>
      <c r="E536" s="52"/>
    </row>
    <row r="537">
      <c r="A537" s="52"/>
      <c r="B537" s="52"/>
      <c r="C537" s="52"/>
      <c r="D537" s="52"/>
      <c r="E537" s="52"/>
    </row>
    <row r="538">
      <c r="A538" s="52"/>
      <c r="B538" s="52"/>
      <c r="C538" s="52"/>
      <c r="D538" s="52"/>
      <c r="E538" s="52"/>
    </row>
    <row r="539">
      <c r="A539" s="52"/>
      <c r="B539" s="52"/>
      <c r="C539" s="52"/>
      <c r="D539" s="52"/>
      <c r="E539" s="52"/>
    </row>
    <row r="540">
      <c r="A540" s="52"/>
      <c r="B540" s="52"/>
      <c r="C540" s="52"/>
      <c r="D540" s="52"/>
      <c r="E540" s="52"/>
    </row>
    <row r="541">
      <c r="A541" s="52"/>
      <c r="B541" s="52"/>
      <c r="C541" s="52"/>
      <c r="D541" s="52"/>
      <c r="E541" s="52"/>
    </row>
    <row r="542">
      <c r="A542" s="52"/>
      <c r="B542" s="52"/>
      <c r="C542" s="52"/>
      <c r="D542" s="52"/>
      <c r="E542" s="52"/>
    </row>
    <row r="543">
      <c r="A543" s="52"/>
      <c r="B543" s="52"/>
      <c r="C543" s="52"/>
      <c r="D543" s="52"/>
      <c r="E543" s="52"/>
    </row>
    <row r="544">
      <c r="A544" s="52"/>
      <c r="B544" s="52"/>
      <c r="C544" s="52"/>
      <c r="D544" s="52"/>
      <c r="E544" s="52"/>
    </row>
    <row r="545">
      <c r="A545" s="52"/>
      <c r="B545" s="52"/>
      <c r="C545" s="52"/>
      <c r="D545" s="52"/>
      <c r="E545" s="52"/>
    </row>
    <row r="546">
      <c r="A546" s="52"/>
      <c r="B546" s="52"/>
      <c r="C546" s="52"/>
      <c r="D546" s="52"/>
      <c r="E546" s="52"/>
    </row>
    <row r="547">
      <c r="A547" s="52"/>
      <c r="B547" s="52"/>
      <c r="C547" s="52"/>
      <c r="D547" s="52"/>
      <c r="E547" s="52"/>
    </row>
    <row r="548">
      <c r="A548" s="52"/>
      <c r="B548" s="52"/>
      <c r="C548" s="52"/>
      <c r="D548" s="52"/>
      <c r="E548" s="52"/>
    </row>
    <row r="549">
      <c r="A549" s="52"/>
      <c r="B549" s="52"/>
      <c r="C549" s="52"/>
      <c r="D549" s="52"/>
      <c r="E549" s="52"/>
    </row>
    <row r="550">
      <c r="A550" s="52"/>
      <c r="B550" s="52"/>
      <c r="C550" s="52"/>
      <c r="D550" s="52"/>
      <c r="E550" s="52"/>
    </row>
    <row r="551">
      <c r="A551" s="52"/>
      <c r="B551" s="52"/>
      <c r="C551" s="52"/>
      <c r="D551" s="52"/>
      <c r="E551" s="52"/>
    </row>
    <row r="552">
      <c r="A552" s="52"/>
      <c r="B552" s="52"/>
      <c r="C552" s="52"/>
      <c r="D552" s="52"/>
      <c r="E552" s="52"/>
    </row>
    <row r="553">
      <c r="A553" s="52"/>
      <c r="B553" s="52"/>
      <c r="C553" s="52"/>
      <c r="D553" s="52"/>
      <c r="E553" s="52"/>
    </row>
    <row r="554">
      <c r="A554" s="52"/>
      <c r="B554" s="52"/>
      <c r="C554" s="52"/>
      <c r="D554" s="52"/>
      <c r="E554" s="52"/>
    </row>
    <row r="555">
      <c r="A555" s="52"/>
      <c r="B555" s="52"/>
      <c r="C555" s="52"/>
      <c r="D555" s="52"/>
      <c r="E555" s="52"/>
    </row>
    <row r="556">
      <c r="A556" s="52"/>
      <c r="B556" s="52"/>
      <c r="C556" s="52"/>
      <c r="D556" s="52"/>
      <c r="E556" s="52"/>
    </row>
    <row r="557">
      <c r="A557" s="52"/>
      <c r="B557" s="52"/>
      <c r="C557" s="52"/>
      <c r="D557" s="52"/>
      <c r="E557" s="52"/>
    </row>
    <row r="558">
      <c r="A558" s="52"/>
      <c r="B558" s="52"/>
      <c r="C558" s="52"/>
      <c r="D558" s="52"/>
      <c r="E558" s="52"/>
    </row>
    <row r="559">
      <c r="A559" s="52"/>
      <c r="B559" s="52"/>
      <c r="C559" s="52"/>
      <c r="D559" s="52"/>
      <c r="E559" s="52"/>
    </row>
    <row r="560">
      <c r="A560" s="52"/>
      <c r="B560" s="52"/>
      <c r="C560" s="52"/>
      <c r="D560" s="52"/>
      <c r="E560" s="52"/>
    </row>
    <row r="561">
      <c r="A561" s="52"/>
      <c r="B561" s="52"/>
      <c r="C561" s="52"/>
      <c r="D561" s="52"/>
      <c r="E561" s="52"/>
    </row>
    <row r="562">
      <c r="A562" s="52"/>
      <c r="B562" s="52"/>
      <c r="C562" s="52"/>
      <c r="D562" s="52"/>
      <c r="E562" s="52"/>
    </row>
    <row r="563">
      <c r="A563" s="52"/>
      <c r="B563" s="52"/>
      <c r="C563" s="52"/>
      <c r="D563" s="52"/>
      <c r="E563" s="52"/>
    </row>
    <row r="564">
      <c r="A564" s="52"/>
      <c r="B564" s="52"/>
      <c r="C564" s="52"/>
      <c r="D564" s="52"/>
      <c r="E564" s="52"/>
    </row>
    <row r="565">
      <c r="A565" s="52"/>
      <c r="B565" s="52"/>
      <c r="C565" s="52"/>
      <c r="D565" s="52"/>
      <c r="E565" s="52"/>
    </row>
    <row r="566">
      <c r="A566" s="52"/>
      <c r="B566" s="52"/>
      <c r="C566" s="52"/>
      <c r="D566" s="52"/>
      <c r="E566" s="52"/>
    </row>
    <row r="567">
      <c r="A567" s="52"/>
      <c r="B567" s="52"/>
      <c r="C567" s="52"/>
      <c r="D567" s="52"/>
      <c r="E567" s="52"/>
    </row>
    <row r="568">
      <c r="A568" s="52"/>
      <c r="B568" s="52"/>
      <c r="C568" s="52"/>
      <c r="D568" s="52"/>
      <c r="E568" s="52"/>
    </row>
    <row r="569">
      <c r="A569" s="52"/>
      <c r="B569" s="52"/>
      <c r="C569" s="52"/>
      <c r="D569" s="52"/>
      <c r="E569" s="52"/>
    </row>
    <row r="570">
      <c r="A570" s="52"/>
      <c r="B570" s="52"/>
      <c r="C570" s="52"/>
      <c r="D570" s="52"/>
      <c r="E570" s="52"/>
    </row>
    <row r="571">
      <c r="A571" s="52"/>
      <c r="B571" s="52"/>
      <c r="C571" s="52"/>
      <c r="D571" s="52"/>
      <c r="E571" s="52"/>
    </row>
    <row r="572">
      <c r="A572" s="52"/>
      <c r="B572" s="52"/>
      <c r="C572" s="52"/>
      <c r="D572" s="52"/>
      <c r="E572" s="52"/>
    </row>
    <row r="573">
      <c r="A573" s="52"/>
      <c r="B573" s="52"/>
      <c r="C573" s="52"/>
      <c r="D573" s="52"/>
      <c r="E573" s="52"/>
    </row>
    <row r="574">
      <c r="A574" s="52"/>
      <c r="B574" s="52"/>
      <c r="C574" s="52"/>
      <c r="D574" s="52"/>
      <c r="E574" s="52"/>
    </row>
    <row r="575">
      <c r="A575" s="52"/>
      <c r="B575" s="52"/>
      <c r="C575" s="52"/>
      <c r="D575" s="52"/>
      <c r="E575" s="52"/>
    </row>
    <row r="576">
      <c r="A576" s="52"/>
      <c r="B576" s="52"/>
      <c r="C576" s="52"/>
      <c r="D576" s="52"/>
      <c r="E576" s="52"/>
    </row>
    <row r="577">
      <c r="A577" s="52"/>
      <c r="B577" s="52"/>
      <c r="C577" s="52"/>
      <c r="D577" s="52"/>
      <c r="E577" s="52"/>
    </row>
    <row r="578">
      <c r="A578" s="52"/>
      <c r="B578" s="52"/>
      <c r="C578" s="52"/>
      <c r="D578" s="52"/>
      <c r="E578" s="52"/>
    </row>
    <row r="579">
      <c r="A579" s="52"/>
      <c r="B579" s="52"/>
      <c r="C579" s="52"/>
      <c r="D579" s="52"/>
      <c r="E579" s="52"/>
    </row>
    <row r="580">
      <c r="A580" s="52"/>
      <c r="B580" s="52"/>
      <c r="C580" s="52"/>
      <c r="D580" s="52"/>
      <c r="E580" s="52"/>
    </row>
    <row r="581">
      <c r="A581" s="52"/>
      <c r="B581" s="52"/>
      <c r="C581" s="52"/>
      <c r="D581" s="52"/>
      <c r="E581" s="52"/>
    </row>
    <row r="582">
      <c r="A582" s="52"/>
      <c r="B582" s="52"/>
      <c r="C582" s="52"/>
      <c r="D582" s="52"/>
      <c r="E582" s="52"/>
    </row>
    <row r="583">
      <c r="A583" s="52"/>
      <c r="B583" s="52"/>
      <c r="C583" s="52"/>
      <c r="D583" s="52"/>
      <c r="E583" s="52"/>
    </row>
    <row r="584">
      <c r="A584" s="52"/>
      <c r="B584" s="52"/>
      <c r="C584" s="52"/>
      <c r="D584" s="52"/>
      <c r="E584" s="52"/>
    </row>
    <row r="585">
      <c r="A585" s="52"/>
      <c r="B585" s="52"/>
      <c r="C585" s="52"/>
      <c r="D585" s="52"/>
      <c r="E585" s="52"/>
    </row>
    <row r="586">
      <c r="A586" s="52"/>
      <c r="B586" s="52"/>
      <c r="C586" s="52"/>
      <c r="D586" s="52"/>
      <c r="E586" s="52"/>
    </row>
    <row r="587">
      <c r="A587" s="52"/>
      <c r="B587" s="52"/>
      <c r="C587" s="52"/>
      <c r="D587" s="52"/>
      <c r="E587" s="52"/>
    </row>
    <row r="588">
      <c r="A588" s="52"/>
      <c r="B588" s="52"/>
      <c r="C588" s="52"/>
      <c r="D588" s="52"/>
      <c r="E588" s="52"/>
    </row>
    <row r="589">
      <c r="A589" s="52"/>
      <c r="B589" s="52"/>
      <c r="C589" s="52"/>
      <c r="D589" s="52"/>
      <c r="E589" s="52"/>
    </row>
    <row r="590">
      <c r="A590" s="52"/>
      <c r="B590" s="52"/>
      <c r="C590" s="52"/>
      <c r="D590" s="52"/>
      <c r="E590" s="52"/>
    </row>
    <row r="591">
      <c r="A591" s="52"/>
      <c r="B591" s="52"/>
      <c r="C591" s="52"/>
      <c r="D591" s="52"/>
      <c r="E591" s="52"/>
    </row>
    <row r="592">
      <c r="A592" s="52"/>
      <c r="B592" s="52"/>
      <c r="C592" s="52"/>
      <c r="D592" s="52"/>
      <c r="E592" s="52"/>
    </row>
    <row r="593">
      <c r="A593" s="52"/>
      <c r="B593" s="52"/>
      <c r="C593" s="52"/>
      <c r="D593" s="52"/>
      <c r="E593" s="52"/>
    </row>
    <row r="594">
      <c r="A594" s="52"/>
      <c r="B594" s="52"/>
      <c r="C594" s="52"/>
      <c r="D594" s="52"/>
      <c r="E594" s="52"/>
    </row>
    <row r="595">
      <c r="A595" s="52"/>
      <c r="B595" s="52"/>
      <c r="C595" s="52"/>
      <c r="D595" s="52"/>
      <c r="E595" s="52"/>
    </row>
    <row r="596">
      <c r="A596" s="52"/>
      <c r="B596" s="52"/>
      <c r="C596" s="52"/>
      <c r="D596" s="52"/>
      <c r="E596" s="52"/>
    </row>
    <row r="597">
      <c r="A597" s="52"/>
      <c r="B597" s="52"/>
      <c r="C597" s="52"/>
      <c r="D597" s="52"/>
      <c r="E597" s="52"/>
    </row>
    <row r="598">
      <c r="A598" s="52"/>
      <c r="B598" s="52"/>
      <c r="C598" s="52"/>
      <c r="D598" s="52"/>
      <c r="E598" s="52"/>
    </row>
    <row r="599">
      <c r="A599" s="52"/>
      <c r="B599" s="52"/>
      <c r="C599" s="52"/>
      <c r="D599" s="52"/>
      <c r="E599" s="52"/>
    </row>
    <row r="600">
      <c r="A600" s="52"/>
      <c r="B600" s="52"/>
      <c r="C600" s="52"/>
      <c r="D600" s="52"/>
      <c r="E600" s="52"/>
    </row>
    <row r="601">
      <c r="A601" s="52"/>
      <c r="B601" s="52"/>
      <c r="C601" s="52"/>
      <c r="D601" s="52"/>
      <c r="E601" s="52"/>
    </row>
    <row r="602">
      <c r="A602" s="52"/>
      <c r="B602" s="52"/>
      <c r="C602" s="52"/>
      <c r="D602" s="52"/>
      <c r="E602" s="52"/>
    </row>
    <row r="603">
      <c r="A603" s="52"/>
      <c r="B603" s="52"/>
      <c r="C603" s="52"/>
      <c r="D603" s="52"/>
      <c r="E603" s="52"/>
    </row>
    <row r="604">
      <c r="A604" s="52"/>
      <c r="B604" s="52"/>
      <c r="C604" s="52"/>
      <c r="D604" s="52"/>
      <c r="E604" s="52"/>
    </row>
    <row r="605">
      <c r="A605" s="52"/>
      <c r="B605" s="52"/>
      <c r="C605" s="52"/>
      <c r="D605" s="52"/>
      <c r="E605" s="52"/>
    </row>
    <row r="606">
      <c r="A606" s="52"/>
      <c r="B606" s="52"/>
      <c r="C606" s="52"/>
      <c r="D606" s="52"/>
      <c r="E606" s="52"/>
    </row>
    <row r="607">
      <c r="A607" s="52"/>
      <c r="B607" s="52"/>
      <c r="C607" s="52"/>
      <c r="D607" s="52"/>
      <c r="E607" s="52"/>
    </row>
    <row r="608">
      <c r="A608" s="52"/>
      <c r="B608" s="52"/>
      <c r="C608" s="52"/>
      <c r="D608" s="52"/>
      <c r="E608" s="52"/>
    </row>
    <row r="609">
      <c r="A609" s="52"/>
      <c r="B609" s="52"/>
      <c r="C609" s="52"/>
      <c r="D609" s="52"/>
      <c r="E609" s="52"/>
    </row>
    <row r="610">
      <c r="A610" s="52"/>
      <c r="B610" s="52"/>
      <c r="C610" s="52"/>
      <c r="D610" s="52"/>
      <c r="E610" s="52"/>
    </row>
    <row r="611">
      <c r="A611" s="52"/>
      <c r="B611" s="52"/>
      <c r="C611" s="52"/>
      <c r="D611" s="52"/>
      <c r="E611" s="52"/>
    </row>
    <row r="612">
      <c r="A612" s="52"/>
      <c r="B612" s="52"/>
      <c r="C612" s="52"/>
      <c r="D612" s="52"/>
      <c r="E612" s="52"/>
    </row>
    <row r="613">
      <c r="A613" s="52"/>
      <c r="B613" s="52"/>
      <c r="C613" s="52"/>
      <c r="D613" s="52"/>
      <c r="E613" s="52"/>
    </row>
    <row r="614">
      <c r="A614" s="52"/>
      <c r="B614" s="52"/>
      <c r="C614" s="52"/>
      <c r="D614" s="52"/>
      <c r="E614" s="52"/>
    </row>
    <row r="615">
      <c r="A615" s="52"/>
      <c r="B615" s="52"/>
      <c r="C615" s="52"/>
      <c r="D615" s="52"/>
      <c r="E615" s="52"/>
    </row>
    <row r="616">
      <c r="A616" s="52"/>
      <c r="B616" s="52"/>
      <c r="C616" s="52"/>
      <c r="D616" s="52"/>
      <c r="E616" s="52"/>
    </row>
    <row r="617">
      <c r="A617" s="52"/>
      <c r="B617" s="52"/>
      <c r="C617" s="52"/>
      <c r="D617" s="52"/>
      <c r="E617" s="52"/>
    </row>
    <row r="618">
      <c r="A618" s="52"/>
      <c r="B618" s="52"/>
      <c r="C618" s="52"/>
      <c r="D618" s="52"/>
      <c r="E618" s="52"/>
    </row>
    <row r="619">
      <c r="A619" s="52"/>
      <c r="B619" s="52"/>
      <c r="C619" s="52"/>
      <c r="D619" s="52"/>
      <c r="E619" s="52"/>
    </row>
    <row r="620">
      <c r="A620" s="52"/>
      <c r="B620" s="52"/>
      <c r="C620" s="52"/>
      <c r="D620" s="52"/>
      <c r="E620" s="52"/>
    </row>
    <row r="621">
      <c r="A621" s="52"/>
      <c r="B621" s="52"/>
      <c r="C621" s="52"/>
      <c r="D621" s="52"/>
      <c r="E621" s="52"/>
    </row>
    <row r="622">
      <c r="A622" s="52"/>
      <c r="B622" s="52"/>
      <c r="C622" s="52"/>
      <c r="D622" s="52"/>
      <c r="E622" s="52"/>
    </row>
    <row r="623">
      <c r="A623" s="52"/>
      <c r="B623" s="52"/>
      <c r="C623" s="52"/>
      <c r="D623" s="52"/>
      <c r="E623" s="52"/>
    </row>
    <row r="624">
      <c r="A624" s="52"/>
      <c r="B624" s="52"/>
      <c r="C624" s="52"/>
      <c r="D624" s="52"/>
      <c r="E624" s="52"/>
    </row>
    <row r="625">
      <c r="A625" s="52"/>
      <c r="B625" s="52"/>
      <c r="C625" s="52"/>
      <c r="D625" s="52"/>
      <c r="E625" s="52"/>
    </row>
    <row r="626">
      <c r="A626" s="52"/>
      <c r="B626" s="52"/>
      <c r="C626" s="52"/>
      <c r="D626" s="52"/>
      <c r="E626" s="52"/>
    </row>
    <row r="627">
      <c r="A627" s="52"/>
      <c r="B627" s="52"/>
      <c r="C627" s="52"/>
      <c r="D627" s="52"/>
      <c r="E627" s="52"/>
    </row>
    <row r="628">
      <c r="A628" s="52"/>
      <c r="B628" s="52"/>
      <c r="C628" s="52"/>
      <c r="D628" s="52"/>
      <c r="E628" s="52"/>
    </row>
    <row r="629">
      <c r="A629" s="52"/>
      <c r="B629" s="52"/>
      <c r="C629" s="52"/>
      <c r="D629" s="52"/>
      <c r="E629" s="52"/>
    </row>
    <row r="630">
      <c r="A630" s="52"/>
      <c r="B630" s="52"/>
      <c r="C630" s="52"/>
      <c r="D630" s="52"/>
      <c r="E630" s="52"/>
    </row>
    <row r="631">
      <c r="A631" s="52"/>
      <c r="B631" s="52"/>
      <c r="C631" s="52"/>
      <c r="D631" s="52"/>
      <c r="E631" s="52"/>
    </row>
    <row r="632">
      <c r="A632" s="52"/>
      <c r="B632" s="52"/>
      <c r="C632" s="52"/>
      <c r="D632" s="52"/>
      <c r="E632" s="52"/>
    </row>
    <row r="633">
      <c r="A633" s="52"/>
      <c r="B633" s="52"/>
      <c r="C633" s="52"/>
      <c r="D633" s="52"/>
      <c r="E633" s="52"/>
    </row>
    <row r="634">
      <c r="A634" s="52"/>
      <c r="B634" s="52"/>
      <c r="C634" s="52"/>
      <c r="D634" s="52"/>
      <c r="E634" s="52"/>
    </row>
    <row r="635">
      <c r="A635" s="52"/>
      <c r="B635" s="52"/>
      <c r="C635" s="52"/>
      <c r="D635" s="52"/>
      <c r="E635" s="52"/>
    </row>
    <row r="636">
      <c r="A636" s="52"/>
      <c r="B636" s="52"/>
      <c r="C636" s="52"/>
      <c r="D636" s="52"/>
      <c r="E636" s="52"/>
    </row>
    <row r="637">
      <c r="A637" s="52"/>
      <c r="B637" s="52"/>
      <c r="C637" s="52"/>
      <c r="D637" s="52"/>
      <c r="E637" s="52"/>
    </row>
    <row r="638">
      <c r="A638" s="52"/>
      <c r="B638" s="52"/>
      <c r="C638" s="52"/>
      <c r="D638" s="52"/>
      <c r="E638" s="52"/>
    </row>
    <row r="639">
      <c r="A639" s="52"/>
      <c r="B639" s="52"/>
      <c r="C639" s="52"/>
      <c r="D639" s="52"/>
      <c r="E639" s="52"/>
    </row>
    <row r="640">
      <c r="A640" s="52"/>
      <c r="B640" s="52"/>
      <c r="C640" s="52"/>
      <c r="D640" s="52"/>
      <c r="E640" s="52"/>
    </row>
    <row r="641">
      <c r="A641" s="52"/>
      <c r="B641" s="52"/>
      <c r="C641" s="52"/>
      <c r="D641" s="52"/>
      <c r="E641" s="52"/>
    </row>
    <row r="642">
      <c r="A642" s="52"/>
      <c r="B642" s="52"/>
      <c r="C642" s="52"/>
      <c r="D642" s="52"/>
      <c r="E642" s="52"/>
    </row>
    <row r="643">
      <c r="A643" s="52"/>
      <c r="B643" s="52"/>
      <c r="C643" s="52"/>
      <c r="D643" s="52"/>
      <c r="E643" s="52"/>
    </row>
    <row r="644">
      <c r="A644" s="52"/>
      <c r="B644" s="52"/>
      <c r="C644" s="52"/>
      <c r="D644" s="52"/>
      <c r="E644" s="52"/>
    </row>
    <row r="645">
      <c r="A645" s="52"/>
      <c r="B645" s="52"/>
      <c r="C645" s="52"/>
      <c r="D645" s="52"/>
      <c r="E645" s="52"/>
    </row>
    <row r="646">
      <c r="A646" s="52"/>
      <c r="B646" s="52"/>
      <c r="C646" s="52"/>
      <c r="D646" s="52"/>
      <c r="E646" s="52"/>
    </row>
    <row r="647">
      <c r="A647" s="52"/>
      <c r="B647" s="52"/>
      <c r="C647" s="52"/>
      <c r="D647" s="52"/>
      <c r="E647" s="52"/>
    </row>
    <row r="648">
      <c r="A648" s="52"/>
      <c r="B648" s="52"/>
      <c r="C648" s="52"/>
      <c r="D648" s="52"/>
      <c r="E648" s="52"/>
    </row>
    <row r="649">
      <c r="A649" s="52"/>
      <c r="B649" s="52"/>
      <c r="C649" s="52"/>
      <c r="D649" s="52"/>
      <c r="E649" s="52"/>
    </row>
    <row r="650">
      <c r="A650" s="52"/>
      <c r="B650" s="52"/>
      <c r="C650" s="52"/>
      <c r="D650" s="52"/>
      <c r="E650" s="52"/>
    </row>
    <row r="651">
      <c r="A651" s="52"/>
      <c r="B651" s="52"/>
      <c r="C651" s="52"/>
      <c r="D651" s="52"/>
      <c r="E651" s="52"/>
    </row>
    <row r="652">
      <c r="A652" s="52"/>
      <c r="B652" s="52"/>
      <c r="C652" s="52"/>
      <c r="D652" s="52"/>
      <c r="E652" s="52"/>
    </row>
    <row r="653">
      <c r="A653" s="52"/>
      <c r="B653" s="52"/>
      <c r="C653" s="52"/>
      <c r="D653" s="52"/>
      <c r="E653" s="52"/>
    </row>
    <row r="654">
      <c r="A654" s="52"/>
      <c r="B654" s="52"/>
      <c r="C654" s="52"/>
      <c r="D654" s="52"/>
      <c r="E654" s="52"/>
    </row>
    <row r="655">
      <c r="A655" s="52"/>
      <c r="B655" s="52"/>
      <c r="C655" s="52"/>
      <c r="D655" s="52"/>
      <c r="E655" s="52"/>
    </row>
    <row r="656">
      <c r="A656" s="52"/>
      <c r="B656" s="52"/>
      <c r="C656" s="52"/>
      <c r="D656" s="52"/>
      <c r="E656" s="52"/>
    </row>
    <row r="657">
      <c r="A657" s="52"/>
      <c r="B657" s="52"/>
      <c r="C657" s="52"/>
      <c r="D657" s="52"/>
      <c r="E657" s="52"/>
    </row>
    <row r="658">
      <c r="A658" s="52"/>
      <c r="B658" s="52"/>
      <c r="C658" s="52"/>
      <c r="D658" s="52"/>
      <c r="E658" s="52"/>
    </row>
    <row r="659">
      <c r="A659" s="52"/>
      <c r="B659" s="52"/>
      <c r="C659" s="52"/>
      <c r="D659" s="52"/>
      <c r="E659" s="52"/>
    </row>
    <row r="660">
      <c r="A660" s="52"/>
      <c r="B660" s="52"/>
      <c r="C660" s="52"/>
      <c r="D660" s="52"/>
      <c r="E660" s="52"/>
    </row>
    <row r="661">
      <c r="A661" s="52"/>
      <c r="B661" s="52"/>
      <c r="C661" s="52"/>
      <c r="D661" s="52"/>
      <c r="E661" s="52"/>
    </row>
    <row r="662">
      <c r="A662" s="52"/>
      <c r="B662" s="52"/>
      <c r="C662" s="52"/>
      <c r="D662" s="52"/>
      <c r="E662" s="52"/>
    </row>
    <row r="663">
      <c r="A663" s="52"/>
      <c r="B663" s="52"/>
      <c r="C663" s="52"/>
      <c r="D663" s="52"/>
      <c r="E663" s="52"/>
    </row>
    <row r="664">
      <c r="A664" s="52"/>
      <c r="B664" s="52"/>
      <c r="C664" s="52"/>
      <c r="D664" s="52"/>
      <c r="E664" s="52"/>
    </row>
    <row r="665">
      <c r="A665" s="52"/>
      <c r="B665" s="52"/>
      <c r="C665" s="52"/>
      <c r="D665" s="52"/>
      <c r="E665" s="52"/>
    </row>
    <row r="666">
      <c r="A666" s="52"/>
      <c r="B666" s="52"/>
      <c r="C666" s="52"/>
      <c r="D666" s="52"/>
      <c r="E666" s="52"/>
    </row>
    <row r="667">
      <c r="A667" s="52"/>
      <c r="B667" s="52"/>
      <c r="C667" s="52"/>
      <c r="D667" s="52"/>
      <c r="E667" s="52"/>
    </row>
    <row r="668">
      <c r="A668" s="52"/>
      <c r="B668" s="52"/>
      <c r="C668" s="52"/>
      <c r="D668" s="52"/>
      <c r="E668" s="52"/>
    </row>
    <row r="669">
      <c r="A669" s="52"/>
      <c r="B669" s="52"/>
      <c r="C669" s="52"/>
      <c r="D669" s="52"/>
      <c r="E669" s="52"/>
    </row>
    <row r="670">
      <c r="A670" s="52"/>
      <c r="B670" s="52"/>
      <c r="C670" s="52"/>
      <c r="D670" s="52"/>
      <c r="E670" s="52"/>
    </row>
    <row r="671">
      <c r="A671" s="52"/>
      <c r="B671" s="52"/>
      <c r="C671" s="52"/>
      <c r="D671" s="52"/>
      <c r="E671" s="52"/>
    </row>
    <row r="672">
      <c r="A672" s="52"/>
      <c r="B672" s="52"/>
      <c r="C672" s="52"/>
      <c r="D672" s="52"/>
      <c r="E672" s="52"/>
    </row>
    <row r="673">
      <c r="A673" s="52"/>
      <c r="B673" s="52"/>
      <c r="C673" s="52"/>
      <c r="D673" s="52"/>
      <c r="E673" s="52"/>
    </row>
    <row r="674">
      <c r="A674" s="52"/>
      <c r="B674" s="52"/>
      <c r="C674" s="52"/>
      <c r="D674" s="52"/>
      <c r="E674" s="52"/>
    </row>
    <row r="675">
      <c r="A675" s="52"/>
      <c r="B675" s="52"/>
      <c r="C675" s="52"/>
      <c r="D675" s="52"/>
      <c r="E675" s="52"/>
    </row>
    <row r="676">
      <c r="A676" s="52"/>
      <c r="B676" s="52"/>
      <c r="C676" s="52"/>
      <c r="D676" s="52"/>
      <c r="E676" s="52"/>
    </row>
    <row r="677">
      <c r="A677" s="52"/>
      <c r="B677" s="52"/>
      <c r="C677" s="52"/>
      <c r="D677" s="52"/>
      <c r="E677" s="52"/>
    </row>
    <row r="678">
      <c r="A678" s="52"/>
      <c r="B678" s="52"/>
      <c r="C678" s="52"/>
      <c r="D678" s="52"/>
      <c r="E678" s="52"/>
    </row>
    <row r="679">
      <c r="A679" s="52"/>
      <c r="B679" s="52"/>
      <c r="C679" s="52"/>
      <c r="D679" s="52"/>
      <c r="E679" s="52"/>
    </row>
    <row r="680">
      <c r="A680" s="52"/>
      <c r="B680" s="52"/>
      <c r="C680" s="52"/>
      <c r="D680" s="52"/>
      <c r="E680" s="52"/>
    </row>
    <row r="681">
      <c r="A681" s="52"/>
      <c r="B681" s="52"/>
      <c r="C681" s="52"/>
      <c r="D681" s="52"/>
      <c r="E681" s="52"/>
    </row>
    <row r="682">
      <c r="A682" s="52"/>
      <c r="B682" s="52"/>
      <c r="C682" s="52"/>
      <c r="D682" s="52"/>
      <c r="E682" s="52"/>
    </row>
    <row r="683">
      <c r="A683" s="52"/>
      <c r="B683" s="52"/>
      <c r="C683" s="52"/>
      <c r="D683" s="52"/>
      <c r="E683" s="52"/>
    </row>
    <row r="684">
      <c r="A684" s="52"/>
      <c r="B684" s="52"/>
      <c r="C684" s="52"/>
      <c r="D684" s="52"/>
      <c r="E684" s="52"/>
    </row>
    <row r="685">
      <c r="A685" s="52"/>
      <c r="B685" s="52"/>
      <c r="C685" s="52"/>
      <c r="D685" s="52"/>
      <c r="E685" s="52"/>
    </row>
    <row r="686">
      <c r="A686" s="52"/>
      <c r="B686" s="52"/>
      <c r="C686" s="52"/>
      <c r="D686" s="52"/>
      <c r="E686" s="52"/>
    </row>
    <row r="687">
      <c r="A687" s="52"/>
      <c r="B687" s="52"/>
      <c r="C687" s="52"/>
      <c r="D687" s="52"/>
      <c r="E687" s="52"/>
    </row>
    <row r="688">
      <c r="A688" s="52"/>
      <c r="B688" s="52"/>
      <c r="C688" s="52"/>
      <c r="D688" s="52"/>
      <c r="E688" s="52"/>
    </row>
    <row r="689">
      <c r="A689" s="52"/>
      <c r="B689" s="52"/>
      <c r="C689" s="52"/>
      <c r="D689" s="52"/>
      <c r="E689" s="52"/>
    </row>
    <row r="690">
      <c r="A690" s="52"/>
      <c r="B690" s="52"/>
      <c r="C690" s="52"/>
      <c r="D690" s="52"/>
      <c r="E690" s="52"/>
    </row>
    <row r="691">
      <c r="A691" s="52"/>
      <c r="B691" s="52"/>
      <c r="C691" s="52"/>
      <c r="D691" s="52"/>
      <c r="E691" s="52"/>
    </row>
    <row r="692">
      <c r="A692" s="52"/>
      <c r="B692" s="52"/>
      <c r="C692" s="52"/>
      <c r="D692" s="52"/>
      <c r="E692" s="52"/>
    </row>
    <row r="693">
      <c r="A693" s="52"/>
      <c r="B693" s="52"/>
      <c r="C693" s="52"/>
      <c r="D693" s="52"/>
      <c r="E693" s="52"/>
    </row>
    <row r="694">
      <c r="A694" s="52"/>
      <c r="B694" s="52"/>
      <c r="C694" s="52"/>
      <c r="D694" s="52"/>
      <c r="E694" s="52"/>
    </row>
    <row r="695">
      <c r="A695" s="52"/>
      <c r="B695" s="52"/>
      <c r="C695" s="52"/>
      <c r="D695" s="52"/>
      <c r="E695" s="52"/>
    </row>
    <row r="696">
      <c r="A696" s="52"/>
      <c r="B696" s="52"/>
      <c r="C696" s="52"/>
      <c r="D696" s="52"/>
      <c r="E696" s="52"/>
    </row>
    <row r="697">
      <c r="A697" s="52"/>
      <c r="B697" s="52"/>
      <c r="C697" s="52"/>
      <c r="D697" s="52"/>
      <c r="E697" s="52"/>
    </row>
    <row r="698">
      <c r="A698" s="52"/>
      <c r="B698" s="52"/>
      <c r="C698" s="52"/>
      <c r="D698" s="52"/>
      <c r="E698" s="52"/>
    </row>
    <row r="699">
      <c r="A699" s="52"/>
      <c r="B699" s="52"/>
      <c r="C699" s="52"/>
      <c r="D699" s="52"/>
      <c r="E699" s="52"/>
    </row>
    <row r="700">
      <c r="A700" s="52"/>
      <c r="B700" s="52"/>
      <c r="C700" s="52"/>
      <c r="D700" s="52"/>
      <c r="E700" s="52"/>
    </row>
    <row r="701">
      <c r="A701" s="52"/>
      <c r="B701" s="52"/>
      <c r="C701" s="52"/>
      <c r="D701" s="52"/>
      <c r="E701" s="52"/>
    </row>
    <row r="702">
      <c r="A702" s="52"/>
      <c r="B702" s="52"/>
      <c r="C702" s="52"/>
      <c r="D702" s="52"/>
      <c r="E702" s="52"/>
    </row>
    <row r="703">
      <c r="A703" s="52"/>
      <c r="B703" s="52"/>
      <c r="C703" s="52"/>
      <c r="D703" s="52"/>
      <c r="E703" s="52"/>
    </row>
    <row r="704">
      <c r="A704" s="52"/>
      <c r="B704" s="52"/>
      <c r="C704" s="52"/>
      <c r="D704" s="52"/>
      <c r="E704" s="52"/>
    </row>
    <row r="705">
      <c r="A705" s="52"/>
      <c r="B705" s="52"/>
      <c r="C705" s="52"/>
      <c r="D705" s="52"/>
      <c r="E705" s="52"/>
    </row>
    <row r="706">
      <c r="A706" s="52"/>
      <c r="B706" s="52"/>
      <c r="C706" s="52"/>
      <c r="D706" s="52"/>
      <c r="E706" s="52"/>
    </row>
    <row r="707">
      <c r="A707" s="52"/>
      <c r="B707" s="52"/>
      <c r="C707" s="52"/>
      <c r="D707" s="52"/>
      <c r="E707" s="52"/>
    </row>
    <row r="708">
      <c r="A708" s="52"/>
      <c r="B708" s="52"/>
      <c r="C708" s="52"/>
      <c r="D708" s="52"/>
      <c r="E708" s="52"/>
    </row>
    <row r="709">
      <c r="A709" s="52"/>
      <c r="B709" s="52"/>
      <c r="C709" s="52"/>
      <c r="D709" s="52"/>
      <c r="E709" s="52"/>
    </row>
    <row r="710">
      <c r="A710" s="52"/>
      <c r="B710" s="52"/>
      <c r="C710" s="52"/>
      <c r="D710" s="52"/>
      <c r="E710" s="52"/>
    </row>
    <row r="711">
      <c r="A711" s="52"/>
      <c r="B711" s="52"/>
      <c r="C711" s="52"/>
      <c r="D711" s="52"/>
      <c r="E711" s="52"/>
    </row>
    <row r="712">
      <c r="A712" s="52"/>
      <c r="B712" s="52"/>
      <c r="C712" s="52"/>
      <c r="D712" s="52"/>
      <c r="E712" s="52"/>
    </row>
    <row r="713">
      <c r="A713" s="52"/>
      <c r="B713" s="52"/>
      <c r="C713" s="52"/>
      <c r="D713" s="52"/>
      <c r="E713" s="52"/>
    </row>
    <row r="714">
      <c r="A714" s="52"/>
      <c r="B714" s="52"/>
      <c r="C714" s="52"/>
      <c r="D714" s="52"/>
      <c r="E714" s="52"/>
    </row>
    <row r="715">
      <c r="A715" s="52"/>
      <c r="B715" s="52"/>
      <c r="C715" s="52"/>
      <c r="D715" s="52"/>
      <c r="E715" s="52"/>
    </row>
    <row r="716">
      <c r="A716" s="52"/>
      <c r="B716" s="52"/>
      <c r="C716" s="52"/>
      <c r="D716" s="52"/>
      <c r="E716" s="52"/>
    </row>
    <row r="717">
      <c r="A717" s="52"/>
      <c r="B717" s="52"/>
      <c r="C717" s="52"/>
      <c r="D717" s="52"/>
      <c r="E717" s="52"/>
    </row>
    <row r="718">
      <c r="A718" s="52"/>
      <c r="B718" s="52"/>
      <c r="C718" s="52"/>
      <c r="D718" s="52"/>
      <c r="E718" s="52"/>
    </row>
    <row r="719">
      <c r="A719" s="52"/>
      <c r="B719" s="52"/>
      <c r="C719" s="52"/>
      <c r="D719" s="52"/>
      <c r="E719" s="52"/>
    </row>
    <row r="720">
      <c r="A720" s="52"/>
      <c r="B720" s="52"/>
      <c r="C720" s="52"/>
      <c r="D720" s="52"/>
      <c r="E720" s="52"/>
    </row>
    <row r="721">
      <c r="A721" s="52"/>
      <c r="B721" s="52"/>
      <c r="C721" s="52"/>
      <c r="D721" s="52"/>
      <c r="E721" s="52"/>
    </row>
    <row r="722">
      <c r="A722" s="52"/>
      <c r="B722" s="52"/>
      <c r="C722" s="52"/>
      <c r="D722" s="52"/>
      <c r="E722" s="52"/>
    </row>
    <row r="723">
      <c r="A723" s="52"/>
      <c r="B723" s="52"/>
      <c r="C723" s="52"/>
      <c r="D723" s="52"/>
      <c r="E723" s="52"/>
    </row>
    <row r="724">
      <c r="A724" s="52"/>
      <c r="B724" s="52"/>
      <c r="C724" s="52"/>
      <c r="D724" s="52"/>
      <c r="E724" s="52"/>
    </row>
    <row r="725">
      <c r="A725" s="52"/>
      <c r="B725" s="52"/>
      <c r="C725" s="52"/>
      <c r="D725" s="52"/>
      <c r="E725" s="52"/>
    </row>
    <row r="726">
      <c r="A726" s="52"/>
      <c r="B726" s="52"/>
      <c r="C726" s="52"/>
      <c r="D726" s="52"/>
      <c r="E726" s="52"/>
    </row>
    <row r="727">
      <c r="A727" s="52"/>
      <c r="B727" s="52"/>
      <c r="C727" s="52"/>
      <c r="D727" s="52"/>
      <c r="E727" s="52"/>
    </row>
    <row r="728">
      <c r="A728" s="52"/>
      <c r="B728" s="52"/>
      <c r="C728" s="52"/>
      <c r="D728" s="52"/>
      <c r="E728" s="52"/>
    </row>
    <row r="729">
      <c r="A729" s="52"/>
      <c r="B729" s="52"/>
      <c r="C729" s="52"/>
      <c r="D729" s="52"/>
      <c r="E729" s="52"/>
    </row>
    <row r="730">
      <c r="A730" s="52"/>
      <c r="B730" s="52"/>
      <c r="C730" s="52"/>
      <c r="D730" s="52"/>
      <c r="E730" s="52"/>
    </row>
    <row r="731">
      <c r="A731" s="52"/>
      <c r="B731" s="52"/>
      <c r="C731" s="52"/>
      <c r="D731" s="52"/>
      <c r="E731" s="52"/>
    </row>
    <row r="732">
      <c r="A732" s="52"/>
      <c r="B732" s="52"/>
      <c r="C732" s="52"/>
      <c r="D732" s="52"/>
      <c r="E732" s="52"/>
    </row>
    <row r="733">
      <c r="A733" s="52"/>
      <c r="B733" s="52"/>
      <c r="C733" s="52"/>
      <c r="D733" s="52"/>
      <c r="E733" s="52"/>
    </row>
    <row r="734">
      <c r="A734" s="52"/>
      <c r="B734" s="52"/>
      <c r="C734" s="52"/>
      <c r="D734" s="52"/>
      <c r="E734" s="52"/>
    </row>
    <row r="735">
      <c r="A735" s="52"/>
      <c r="B735" s="52"/>
      <c r="C735" s="52"/>
      <c r="D735" s="52"/>
      <c r="E735" s="52"/>
    </row>
    <row r="736">
      <c r="A736" s="52"/>
      <c r="B736" s="52"/>
      <c r="C736" s="52"/>
      <c r="D736" s="52"/>
      <c r="E736" s="52"/>
    </row>
    <row r="737">
      <c r="A737" s="52"/>
      <c r="B737" s="52"/>
      <c r="C737" s="52"/>
      <c r="D737" s="52"/>
      <c r="E737" s="52"/>
    </row>
    <row r="738">
      <c r="A738" s="52"/>
      <c r="B738" s="52"/>
      <c r="C738" s="52"/>
      <c r="D738" s="52"/>
      <c r="E738" s="52"/>
    </row>
    <row r="739">
      <c r="A739" s="52"/>
      <c r="B739" s="52"/>
      <c r="C739" s="52"/>
      <c r="D739" s="52"/>
      <c r="E739" s="52"/>
    </row>
    <row r="740">
      <c r="A740" s="52"/>
      <c r="B740" s="52"/>
      <c r="C740" s="52"/>
      <c r="D740" s="52"/>
      <c r="E740" s="52"/>
    </row>
    <row r="741">
      <c r="A741" s="52"/>
      <c r="B741" s="52"/>
      <c r="C741" s="52"/>
      <c r="D741" s="52"/>
      <c r="E741" s="52"/>
    </row>
    <row r="742">
      <c r="A742" s="52"/>
      <c r="B742" s="52"/>
      <c r="C742" s="52"/>
      <c r="D742" s="52"/>
      <c r="E742" s="52"/>
    </row>
    <row r="743">
      <c r="A743" s="52"/>
      <c r="B743" s="52"/>
      <c r="C743" s="52"/>
      <c r="D743" s="52"/>
      <c r="E743" s="52"/>
    </row>
    <row r="744">
      <c r="A744" s="52"/>
      <c r="B744" s="52"/>
      <c r="C744" s="52"/>
      <c r="D744" s="52"/>
      <c r="E744" s="52"/>
    </row>
    <row r="745">
      <c r="A745" s="52"/>
      <c r="B745" s="52"/>
      <c r="C745" s="52"/>
      <c r="D745" s="52"/>
      <c r="E745" s="52"/>
    </row>
    <row r="746">
      <c r="A746" s="52"/>
      <c r="B746" s="52"/>
      <c r="C746" s="52"/>
      <c r="D746" s="52"/>
      <c r="E746" s="52"/>
    </row>
    <row r="747">
      <c r="A747" s="52"/>
      <c r="B747" s="52"/>
      <c r="C747" s="52"/>
      <c r="D747" s="52"/>
      <c r="E747" s="52"/>
    </row>
    <row r="748">
      <c r="A748" s="52"/>
      <c r="B748" s="52"/>
      <c r="C748" s="52"/>
      <c r="D748" s="52"/>
      <c r="E748" s="52"/>
    </row>
    <row r="749">
      <c r="A749" s="52"/>
      <c r="B749" s="52"/>
      <c r="C749" s="52"/>
      <c r="D749" s="52"/>
      <c r="E749" s="52"/>
    </row>
    <row r="750">
      <c r="A750" s="52"/>
      <c r="B750" s="52"/>
      <c r="C750" s="52"/>
      <c r="D750" s="52"/>
      <c r="E750" s="52"/>
    </row>
    <row r="751">
      <c r="A751" s="52"/>
      <c r="B751" s="52"/>
      <c r="C751" s="52"/>
      <c r="D751" s="52"/>
      <c r="E751" s="52"/>
    </row>
    <row r="752">
      <c r="A752" s="52"/>
      <c r="B752" s="52"/>
      <c r="C752" s="52"/>
      <c r="D752" s="52"/>
      <c r="E752" s="52"/>
    </row>
    <row r="753">
      <c r="A753" s="52"/>
      <c r="B753" s="52"/>
      <c r="C753" s="52"/>
      <c r="D753" s="52"/>
      <c r="E753" s="52"/>
    </row>
    <row r="754">
      <c r="A754" s="52"/>
      <c r="B754" s="52"/>
      <c r="C754" s="52"/>
      <c r="D754" s="52"/>
      <c r="E754" s="52"/>
    </row>
    <row r="755">
      <c r="A755" s="52"/>
      <c r="B755" s="52"/>
      <c r="C755" s="52"/>
      <c r="D755" s="52"/>
      <c r="E755" s="52"/>
    </row>
    <row r="756">
      <c r="A756" s="52"/>
      <c r="B756" s="52"/>
      <c r="C756" s="52"/>
      <c r="D756" s="52"/>
      <c r="E756" s="52"/>
    </row>
    <row r="757">
      <c r="A757" s="52"/>
      <c r="B757" s="52"/>
      <c r="C757" s="52"/>
      <c r="D757" s="52"/>
      <c r="E757" s="52"/>
    </row>
    <row r="758">
      <c r="A758" s="52"/>
      <c r="B758" s="52"/>
      <c r="C758" s="52"/>
      <c r="D758" s="52"/>
      <c r="E758" s="52"/>
    </row>
    <row r="759">
      <c r="A759" s="52"/>
      <c r="B759" s="52"/>
      <c r="C759" s="52"/>
      <c r="D759" s="52"/>
      <c r="E759" s="52"/>
    </row>
    <row r="760">
      <c r="A760" s="52"/>
      <c r="B760" s="52"/>
      <c r="C760" s="52"/>
      <c r="D760" s="52"/>
      <c r="E760" s="52"/>
    </row>
    <row r="761">
      <c r="A761" s="52"/>
      <c r="B761" s="52"/>
      <c r="C761" s="52"/>
      <c r="D761" s="52"/>
      <c r="E761" s="52"/>
    </row>
    <row r="762">
      <c r="A762" s="52"/>
      <c r="B762" s="52"/>
      <c r="C762" s="52"/>
      <c r="D762" s="52"/>
      <c r="E762" s="52"/>
    </row>
    <row r="763">
      <c r="A763" s="52"/>
      <c r="B763" s="52"/>
      <c r="C763" s="52"/>
      <c r="D763" s="52"/>
      <c r="E763" s="52"/>
    </row>
    <row r="764">
      <c r="A764" s="52"/>
      <c r="B764" s="52"/>
      <c r="C764" s="52"/>
      <c r="D764" s="52"/>
      <c r="E764" s="52"/>
    </row>
    <row r="765">
      <c r="A765" s="52"/>
      <c r="B765" s="52"/>
      <c r="C765" s="52"/>
      <c r="D765" s="52"/>
      <c r="E765" s="52"/>
    </row>
    <row r="766">
      <c r="A766" s="52"/>
      <c r="B766" s="52"/>
      <c r="C766" s="52"/>
      <c r="D766" s="52"/>
      <c r="E766" s="52"/>
    </row>
    <row r="767">
      <c r="A767" s="52"/>
      <c r="B767" s="52"/>
      <c r="C767" s="52"/>
      <c r="D767" s="52"/>
      <c r="E767" s="52"/>
    </row>
    <row r="768">
      <c r="A768" s="52"/>
      <c r="B768" s="52"/>
      <c r="C768" s="52"/>
      <c r="D768" s="52"/>
      <c r="E768" s="52"/>
    </row>
    <row r="769">
      <c r="A769" s="52"/>
      <c r="B769" s="52"/>
      <c r="C769" s="52"/>
      <c r="D769" s="52"/>
      <c r="E769" s="52"/>
    </row>
    <row r="770">
      <c r="A770" s="52"/>
      <c r="B770" s="52"/>
      <c r="C770" s="52"/>
      <c r="D770" s="52"/>
      <c r="E770" s="52"/>
    </row>
    <row r="771">
      <c r="A771" s="52"/>
      <c r="B771" s="52"/>
      <c r="C771" s="52"/>
      <c r="D771" s="52"/>
      <c r="E771" s="52"/>
    </row>
    <row r="772">
      <c r="A772" s="52"/>
      <c r="B772" s="52"/>
      <c r="C772" s="52"/>
      <c r="D772" s="52"/>
      <c r="E772" s="52"/>
    </row>
    <row r="773">
      <c r="A773" s="52"/>
      <c r="B773" s="52"/>
      <c r="C773" s="52"/>
      <c r="D773" s="52"/>
      <c r="E773" s="52"/>
    </row>
    <row r="774">
      <c r="A774" s="52"/>
      <c r="B774" s="52"/>
      <c r="C774" s="52"/>
      <c r="D774" s="52"/>
      <c r="E774" s="52"/>
    </row>
    <row r="775">
      <c r="A775" s="52"/>
      <c r="B775" s="52"/>
      <c r="C775" s="52"/>
      <c r="D775" s="52"/>
      <c r="E775" s="52"/>
    </row>
    <row r="776">
      <c r="A776" s="52"/>
      <c r="B776" s="52"/>
      <c r="C776" s="52"/>
      <c r="D776" s="52"/>
      <c r="E776" s="52"/>
    </row>
    <row r="777">
      <c r="A777" s="52"/>
      <c r="B777" s="52"/>
      <c r="C777" s="52"/>
      <c r="D777" s="52"/>
      <c r="E777" s="52"/>
    </row>
    <row r="778">
      <c r="A778" s="52"/>
      <c r="B778" s="52"/>
      <c r="C778" s="52"/>
      <c r="D778" s="52"/>
      <c r="E778" s="52"/>
    </row>
    <row r="779">
      <c r="A779" s="52"/>
      <c r="B779" s="52"/>
      <c r="C779" s="52"/>
      <c r="D779" s="52"/>
      <c r="E779" s="52"/>
    </row>
    <row r="780">
      <c r="A780" s="52"/>
      <c r="B780" s="52"/>
      <c r="C780" s="52"/>
      <c r="D780" s="52"/>
      <c r="E780" s="52"/>
    </row>
    <row r="781">
      <c r="A781" s="52"/>
      <c r="B781" s="52"/>
      <c r="C781" s="52"/>
      <c r="D781" s="52"/>
      <c r="E781" s="52"/>
    </row>
    <row r="782">
      <c r="A782" s="52"/>
      <c r="B782" s="52"/>
      <c r="C782" s="52"/>
      <c r="D782" s="52"/>
      <c r="E782" s="52"/>
    </row>
    <row r="783">
      <c r="A783" s="52"/>
      <c r="B783" s="52"/>
      <c r="C783" s="52"/>
      <c r="D783" s="52"/>
      <c r="E783" s="52"/>
    </row>
    <row r="784">
      <c r="A784" s="52"/>
      <c r="B784" s="52"/>
      <c r="C784" s="52"/>
      <c r="D784" s="52"/>
      <c r="E784" s="52"/>
    </row>
    <row r="785">
      <c r="A785" s="52"/>
      <c r="B785" s="52"/>
      <c r="C785" s="52"/>
      <c r="D785" s="52"/>
      <c r="E785" s="52"/>
    </row>
    <row r="786">
      <c r="A786" s="52"/>
      <c r="B786" s="52"/>
      <c r="C786" s="52"/>
      <c r="D786" s="52"/>
      <c r="E786" s="52"/>
    </row>
    <row r="787">
      <c r="A787" s="52"/>
      <c r="B787" s="52"/>
      <c r="C787" s="52"/>
      <c r="D787" s="52"/>
      <c r="E787" s="52"/>
    </row>
    <row r="788">
      <c r="A788" s="52"/>
      <c r="B788" s="52"/>
      <c r="C788" s="52"/>
      <c r="D788" s="52"/>
      <c r="E788" s="52"/>
    </row>
    <row r="789">
      <c r="A789" s="52"/>
      <c r="B789" s="52"/>
      <c r="C789" s="52"/>
      <c r="D789" s="52"/>
      <c r="E789" s="52"/>
    </row>
    <row r="790">
      <c r="A790" s="52"/>
      <c r="B790" s="52"/>
      <c r="C790" s="52"/>
      <c r="D790" s="52"/>
      <c r="E790" s="52"/>
    </row>
    <row r="791">
      <c r="A791" s="52"/>
      <c r="B791" s="52"/>
      <c r="C791" s="52"/>
      <c r="D791" s="52"/>
      <c r="E791" s="52"/>
    </row>
    <row r="792">
      <c r="A792" s="52"/>
      <c r="B792" s="52"/>
      <c r="C792" s="52"/>
      <c r="D792" s="52"/>
      <c r="E792" s="52"/>
    </row>
    <row r="793">
      <c r="A793" s="52"/>
      <c r="B793" s="52"/>
      <c r="C793" s="52"/>
      <c r="D793" s="52"/>
      <c r="E793" s="52"/>
    </row>
    <row r="794">
      <c r="A794" s="52"/>
      <c r="B794" s="52"/>
      <c r="C794" s="52"/>
      <c r="D794" s="52"/>
      <c r="E794" s="52"/>
    </row>
    <row r="795">
      <c r="A795" s="52"/>
      <c r="B795" s="52"/>
      <c r="C795" s="52"/>
      <c r="D795" s="52"/>
      <c r="E795" s="52"/>
    </row>
    <row r="796">
      <c r="A796" s="52"/>
      <c r="B796" s="52"/>
      <c r="C796" s="52"/>
      <c r="D796" s="52"/>
      <c r="E796" s="52"/>
    </row>
    <row r="797">
      <c r="A797" s="52"/>
      <c r="B797" s="52"/>
      <c r="C797" s="52"/>
      <c r="D797" s="52"/>
      <c r="E797" s="52"/>
    </row>
    <row r="798">
      <c r="A798" s="52"/>
      <c r="B798" s="52"/>
      <c r="C798" s="52"/>
      <c r="D798" s="52"/>
      <c r="E798" s="52"/>
    </row>
    <row r="799">
      <c r="A799" s="52"/>
      <c r="B799" s="52"/>
      <c r="C799" s="52"/>
      <c r="D799" s="52"/>
      <c r="E799" s="52"/>
    </row>
    <row r="800">
      <c r="A800" s="52"/>
      <c r="B800" s="52"/>
      <c r="C800" s="52"/>
      <c r="D800" s="52"/>
      <c r="E800" s="52"/>
    </row>
    <row r="801">
      <c r="A801" s="52"/>
      <c r="B801" s="52"/>
      <c r="C801" s="52"/>
      <c r="D801" s="52"/>
      <c r="E801" s="52"/>
    </row>
    <row r="802">
      <c r="A802" s="52"/>
      <c r="B802" s="52"/>
      <c r="C802" s="52"/>
      <c r="D802" s="52"/>
      <c r="E802" s="52"/>
    </row>
    <row r="803">
      <c r="A803" s="52"/>
      <c r="B803" s="52"/>
      <c r="C803" s="52"/>
      <c r="D803" s="52"/>
      <c r="E803" s="52"/>
    </row>
    <row r="804">
      <c r="A804" s="52"/>
      <c r="B804" s="52"/>
      <c r="C804" s="52"/>
      <c r="D804" s="52"/>
      <c r="E804" s="52"/>
    </row>
    <row r="805">
      <c r="A805" s="52"/>
      <c r="B805" s="52"/>
      <c r="C805" s="52"/>
      <c r="D805" s="52"/>
      <c r="E805" s="52"/>
    </row>
    <row r="806">
      <c r="A806" s="52"/>
      <c r="B806" s="52"/>
      <c r="C806" s="52"/>
      <c r="D806" s="52"/>
      <c r="E806" s="52"/>
    </row>
    <row r="807">
      <c r="A807" s="52"/>
      <c r="B807" s="52"/>
      <c r="C807" s="52"/>
      <c r="D807" s="52"/>
      <c r="E807" s="52"/>
    </row>
    <row r="808">
      <c r="A808" s="52"/>
      <c r="B808" s="52"/>
      <c r="C808" s="52"/>
      <c r="D808" s="52"/>
      <c r="E808" s="52"/>
    </row>
    <row r="809">
      <c r="A809" s="52"/>
      <c r="B809" s="52"/>
      <c r="C809" s="52"/>
      <c r="D809" s="52"/>
      <c r="E809" s="52"/>
    </row>
    <row r="810">
      <c r="A810" s="52"/>
      <c r="B810" s="52"/>
      <c r="C810" s="52"/>
      <c r="D810" s="52"/>
      <c r="E810" s="52"/>
    </row>
    <row r="811">
      <c r="A811" s="52"/>
      <c r="B811" s="52"/>
      <c r="C811" s="52"/>
      <c r="D811" s="52"/>
      <c r="E811" s="52"/>
    </row>
    <row r="812">
      <c r="A812" s="52"/>
      <c r="B812" s="52"/>
      <c r="C812" s="52"/>
      <c r="D812" s="52"/>
      <c r="E812" s="52"/>
    </row>
    <row r="813">
      <c r="A813" s="52"/>
      <c r="B813" s="52"/>
      <c r="C813" s="52"/>
      <c r="D813" s="52"/>
      <c r="E813" s="52"/>
    </row>
    <row r="814">
      <c r="A814" s="52"/>
      <c r="B814" s="52"/>
      <c r="C814" s="52"/>
      <c r="D814" s="52"/>
      <c r="E814" s="52"/>
    </row>
    <row r="815">
      <c r="A815" s="52"/>
      <c r="B815" s="52"/>
      <c r="C815" s="52"/>
      <c r="D815" s="52"/>
      <c r="E815" s="52"/>
    </row>
    <row r="816">
      <c r="A816" s="52"/>
      <c r="B816" s="52"/>
      <c r="C816" s="52"/>
      <c r="D816" s="52"/>
      <c r="E816" s="52"/>
    </row>
    <row r="817">
      <c r="A817" s="52"/>
      <c r="B817" s="52"/>
      <c r="C817" s="52"/>
      <c r="D817" s="52"/>
      <c r="E817" s="52"/>
    </row>
    <row r="818">
      <c r="A818" s="52"/>
      <c r="B818" s="52"/>
      <c r="C818" s="52"/>
      <c r="D818" s="52"/>
      <c r="E818" s="52"/>
    </row>
    <row r="819">
      <c r="A819" s="52"/>
      <c r="B819" s="52"/>
      <c r="C819" s="52"/>
      <c r="D819" s="52"/>
      <c r="E819" s="52"/>
    </row>
    <row r="820">
      <c r="A820" s="52"/>
      <c r="B820" s="52"/>
      <c r="C820" s="52"/>
      <c r="D820" s="52"/>
      <c r="E820" s="52"/>
    </row>
    <row r="821">
      <c r="A821" s="52"/>
      <c r="B821" s="52"/>
      <c r="C821" s="52"/>
      <c r="D821" s="52"/>
      <c r="E821" s="52"/>
    </row>
    <row r="822">
      <c r="A822" s="52"/>
      <c r="B822" s="52"/>
      <c r="C822" s="52"/>
      <c r="D822" s="52"/>
      <c r="E822" s="52"/>
    </row>
    <row r="823">
      <c r="A823" s="52"/>
      <c r="B823" s="52"/>
      <c r="C823" s="52"/>
      <c r="D823" s="52"/>
      <c r="E823" s="52"/>
    </row>
    <row r="824">
      <c r="A824" s="52"/>
      <c r="B824" s="52"/>
      <c r="C824" s="52"/>
      <c r="D824" s="52"/>
      <c r="E824" s="52"/>
    </row>
    <row r="825">
      <c r="A825" s="52"/>
      <c r="B825" s="52"/>
      <c r="C825" s="52"/>
      <c r="D825" s="52"/>
      <c r="E825" s="52"/>
    </row>
    <row r="826">
      <c r="A826" s="52"/>
      <c r="B826" s="52"/>
      <c r="C826" s="52"/>
      <c r="D826" s="52"/>
      <c r="E826" s="52"/>
    </row>
    <row r="827">
      <c r="A827" s="52"/>
      <c r="B827" s="52"/>
      <c r="C827" s="52"/>
      <c r="D827" s="52"/>
      <c r="E827" s="52"/>
    </row>
    <row r="828">
      <c r="A828" s="52"/>
      <c r="B828" s="52"/>
      <c r="C828" s="52"/>
      <c r="D828" s="52"/>
      <c r="E828" s="52"/>
    </row>
    <row r="829">
      <c r="A829" s="52"/>
      <c r="B829" s="52"/>
      <c r="C829" s="52"/>
      <c r="D829" s="52"/>
      <c r="E829" s="52"/>
    </row>
    <row r="830">
      <c r="A830" s="52"/>
      <c r="B830" s="52"/>
      <c r="C830" s="52"/>
      <c r="D830" s="52"/>
      <c r="E830" s="52"/>
    </row>
    <row r="831">
      <c r="A831" s="52"/>
      <c r="B831" s="52"/>
      <c r="C831" s="52"/>
      <c r="D831" s="52"/>
      <c r="E831" s="52"/>
    </row>
    <row r="832">
      <c r="A832" s="52"/>
      <c r="B832" s="52"/>
      <c r="C832" s="52"/>
      <c r="D832" s="52"/>
      <c r="E832" s="52"/>
    </row>
    <row r="833">
      <c r="A833" s="52"/>
      <c r="B833" s="52"/>
      <c r="C833" s="52"/>
      <c r="D833" s="52"/>
      <c r="E833" s="52"/>
    </row>
    <row r="834">
      <c r="A834" s="52"/>
      <c r="B834" s="52"/>
      <c r="C834" s="52"/>
      <c r="D834" s="52"/>
      <c r="E834" s="52"/>
    </row>
    <row r="835">
      <c r="A835" s="52"/>
      <c r="B835" s="52"/>
      <c r="C835" s="52"/>
      <c r="D835" s="52"/>
      <c r="E835" s="52"/>
    </row>
    <row r="836">
      <c r="A836" s="52"/>
      <c r="B836" s="52"/>
      <c r="C836" s="52"/>
      <c r="D836" s="52"/>
      <c r="E836" s="52"/>
    </row>
    <row r="837">
      <c r="A837" s="52"/>
      <c r="B837" s="52"/>
      <c r="C837" s="52"/>
      <c r="D837" s="52"/>
      <c r="E837" s="52"/>
    </row>
    <row r="838">
      <c r="A838" s="52"/>
      <c r="B838" s="52"/>
      <c r="C838" s="52"/>
      <c r="D838" s="52"/>
      <c r="E838" s="52"/>
    </row>
    <row r="839">
      <c r="A839" s="52"/>
      <c r="B839" s="52"/>
      <c r="C839" s="52"/>
      <c r="D839" s="52"/>
      <c r="E839" s="52"/>
    </row>
    <row r="840">
      <c r="A840" s="52"/>
      <c r="B840" s="52"/>
      <c r="C840" s="52"/>
      <c r="D840" s="52"/>
      <c r="E840" s="52"/>
    </row>
    <row r="841">
      <c r="A841" s="52"/>
      <c r="B841" s="52"/>
      <c r="C841" s="52"/>
      <c r="D841" s="52"/>
      <c r="E841" s="52"/>
    </row>
    <row r="842">
      <c r="A842" s="52"/>
      <c r="B842" s="52"/>
      <c r="C842" s="52"/>
      <c r="D842" s="52"/>
      <c r="E842" s="52"/>
    </row>
    <row r="843">
      <c r="A843" s="52"/>
      <c r="B843" s="52"/>
      <c r="C843" s="52"/>
      <c r="D843" s="52"/>
      <c r="E843" s="52"/>
    </row>
    <row r="844">
      <c r="A844" s="52"/>
      <c r="B844" s="52"/>
      <c r="C844" s="52"/>
      <c r="D844" s="52"/>
      <c r="E844" s="52"/>
    </row>
    <row r="845">
      <c r="A845" s="52"/>
      <c r="B845" s="52"/>
      <c r="C845" s="52"/>
      <c r="D845" s="52"/>
      <c r="E845" s="52"/>
    </row>
    <row r="846">
      <c r="A846" s="52"/>
      <c r="B846" s="52"/>
      <c r="C846" s="52"/>
      <c r="D846" s="52"/>
      <c r="E846" s="52"/>
    </row>
    <row r="847">
      <c r="A847" s="52"/>
      <c r="B847" s="52"/>
      <c r="C847" s="52"/>
      <c r="D847" s="52"/>
      <c r="E847" s="52"/>
    </row>
    <row r="848">
      <c r="A848" s="52"/>
      <c r="B848" s="52"/>
      <c r="C848" s="52"/>
      <c r="D848" s="52"/>
      <c r="E848" s="52"/>
    </row>
    <row r="849">
      <c r="A849" s="52"/>
      <c r="B849" s="52"/>
      <c r="C849" s="52"/>
      <c r="D849" s="52"/>
      <c r="E849" s="52"/>
    </row>
    <row r="850">
      <c r="A850" s="52"/>
      <c r="B850" s="52"/>
      <c r="C850" s="52"/>
      <c r="D850" s="52"/>
      <c r="E850" s="52"/>
    </row>
    <row r="851">
      <c r="A851" s="52"/>
      <c r="B851" s="52"/>
      <c r="C851" s="52"/>
      <c r="D851" s="52"/>
      <c r="E851" s="52"/>
    </row>
    <row r="852">
      <c r="A852" s="52"/>
      <c r="B852" s="52"/>
      <c r="C852" s="52"/>
      <c r="D852" s="52"/>
      <c r="E852" s="52"/>
    </row>
    <row r="853">
      <c r="A853" s="52"/>
      <c r="B853" s="52"/>
      <c r="C853" s="52"/>
      <c r="D853" s="52"/>
      <c r="E853" s="52"/>
    </row>
    <row r="854">
      <c r="A854" s="52"/>
      <c r="B854" s="52"/>
      <c r="C854" s="52"/>
      <c r="D854" s="52"/>
      <c r="E854" s="52"/>
    </row>
    <row r="855">
      <c r="A855" s="52"/>
      <c r="B855" s="52"/>
      <c r="C855" s="52"/>
      <c r="D855" s="52"/>
      <c r="E855" s="52"/>
    </row>
    <row r="856">
      <c r="A856" s="52"/>
      <c r="B856" s="52"/>
      <c r="C856" s="52"/>
      <c r="D856" s="52"/>
      <c r="E856" s="52"/>
    </row>
    <row r="857">
      <c r="A857" s="52"/>
      <c r="B857" s="52"/>
      <c r="C857" s="52"/>
      <c r="D857" s="52"/>
      <c r="E857" s="52"/>
    </row>
    <row r="858">
      <c r="A858" s="52"/>
      <c r="B858" s="52"/>
      <c r="C858" s="52"/>
      <c r="D858" s="52"/>
      <c r="E858" s="52"/>
    </row>
    <row r="859">
      <c r="A859" s="52"/>
      <c r="B859" s="52"/>
      <c r="C859" s="52"/>
      <c r="D859" s="52"/>
      <c r="E859" s="52"/>
    </row>
    <row r="860">
      <c r="A860" s="52"/>
      <c r="B860" s="52"/>
      <c r="C860" s="52"/>
      <c r="D860" s="52"/>
      <c r="E860" s="52"/>
    </row>
    <row r="861">
      <c r="A861" s="52"/>
      <c r="B861" s="52"/>
      <c r="C861" s="52"/>
      <c r="D861" s="52"/>
      <c r="E861" s="52"/>
    </row>
    <row r="862">
      <c r="A862" s="52"/>
      <c r="B862" s="52"/>
      <c r="C862" s="52"/>
      <c r="D862" s="52"/>
      <c r="E862" s="52"/>
    </row>
    <row r="863">
      <c r="A863" s="52"/>
      <c r="B863" s="52"/>
      <c r="C863" s="52"/>
      <c r="D863" s="52"/>
      <c r="E863" s="52"/>
    </row>
    <row r="864">
      <c r="A864" s="52"/>
      <c r="B864" s="52"/>
      <c r="C864" s="52"/>
      <c r="D864" s="52"/>
      <c r="E864" s="52"/>
    </row>
    <row r="865">
      <c r="A865" s="52"/>
      <c r="B865" s="52"/>
      <c r="C865" s="52"/>
      <c r="D865" s="52"/>
      <c r="E865" s="52"/>
    </row>
    <row r="866">
      <c r="A866" s="52"/>
      <c r="B866" s="52"/>
      <c r="C866" s="52"/>
      <c r="D866" s="52"/>
      <c r="E866" s="52"/>
    </row>
    <row r="867">
      <c r="A867" s="52"/>
      <c r="B867" s="52"/>
      <c r="C867" s="52"/>
      <c r="D867" s="52"/>
      <c r="E867" s="52"/>
    </row>
    <row r="868">
      <c r="A868" s="52"/>
      <c r="B868" s="52"/>
      <c r="C868" s="52"/>
      <c r="D868" s="52"/>
      <c r="E868" s="52"/>
    </row>
    <row r="869">
      <c r="A869" s="52"/>
      <c r="B869" s="52"/>
      <c r="C869" s="52"/>
      <c r="D869" s="52"/>
      <c r="E869" s="52"/>
    </row>
    <row r="870">
      <c r="A870" s="52"/>
      <c r="B870" s="52"/>
      <c r="C870" s="52"/>
      <c r="D870" s="52"/>
      <c r="E870" s="52"/>
    </row>
    <row r="871">
      <c r="A871" s="52"/>
      <c r="B871" s="52"/>
      <c r="C871" s="52"/>
      <c r="D871" s="52"/>
      <c r="E871" s="52"/>
    </row>
    <row r="872">
      <c r="A872" s="52"/>
      <c r="B872" s="52"/>
      <c r="C872" s="52"/>
      <c r="D872" s="52"/>
      <c r="E872" s="52"/>
    </row>
    <row r="873">
      <c r="A873" s="52"/>
      <c r="B873" s="52"/>
      <c r="C873" s="52"/>
      <c r="D873" s="52"/>
      <c r="E873" s="52"/>
    </row>
    <row r="874">
      <c r="A874" s="52"/>
      <c r="B874" s="52"/>
      <c r="C874" s="52"/>
      <c r="D874" s="52"/>
      <c r="E874" s="52"/>
    </row>
    <row r="875">
      <c r="A875" s="52"/>
      <c r="B875" s="52"/>
      <c r="C875" s="52"/>
      <c r="D875" s="52"/>
      <c r="E875" s="52"/>
    </row>
    <row r="876">
      <c r="A876" s="52"/>
      <c r="B876" s="52"/>
      <c r="C876" s="52"/>
      <c r="D876" s="52"/>
      <c r="E876" s="52"/>
    </row>
    <row r="877">
      <c r="A877" s="52"/>
      <c r="B877" s="52"/>
      <c r="C877" s="52"/>
      <c r="D877" s="52"/>
      <c r="E877" s="52"/>
    </row>
    <row r="878">
      <c r="A878" s="52"/>
      <c r="B878" s="52"/>
      <c r="C878" s="52"/>
      <c r="D878" s="52"/>
      <c r="E878" s="52"/>
    </row>
    <row r="879">
      <c r="A879" s="52"/>
      <c r="B879" s="52"/>
      <c r="C879" s="52"/>
      <c r="D879" s="52"/>
      <c r="E879" s="52"/>
    </row>
    <row r="880">
      <c r="A880" s="52"/>
      <c r="B880" s="52"/>
      <c r="C880" s="52"/>
      <c r="D880" s="52"/>
      <c r="E880" s="52"/>
    </row>
    <row r="881">
      <c r="A881" s="52"/>
      <c r="B881" s="52"/>
      <c r="C881" s="52"/>
      <c r="D881" s="52"/>
      <c r="E881" s="52"/>
    </row>
    <row r="882">
      <c r="A882" s="52"/>
      <c r="B882" s="52"/>
      <c r="C882" s="52"/>
      <c r="D882" s="52"/>
      <c r="E882" s="52"/>
    </row>
    <row r="883">
      <c r="A883" s="52"/>
      <c r="B883" s="52"/>
      <c r="C883" s="52"/>
      <c r="D883" s="52"/>
      <c r="E883" s="52"/>
    </row>
    <row r="884">
      <c r="A884" s="52"/>
      <c r="B884" s="52"/>
      <c r="C884" s="52"/>
      <c r="D884" s="52"/>
      <c r="E884" s="52"/>
    </row>
    <row r="885">
      <c r="A885" s="52"/>
      <c r="B885" s="52"/>
      <c r="C885" s="52"/>
      <c r="D885" s="52"/>
      <c r="E885" s="52"/>
    </row>
    <row r="886">
      <c r="A886" s="52"/>
      <c r="B886" s="52"/>
      <c r="C886" s="52"/>
      <c r="D886" s="52"/>
      <c r="E886" s="52"/>
    </row>
    <row r="887">
      <c r="A887" s="52"/>
      <c r="B887" s="52"/>
      <c r="C887" s="52"/>
      <c r="D887" s="52"/>
      <c r="E887" s="52"/>
    </row>
    <row r="888">
      <c r="A888" s="52"/>
      <c r="B888" s="52"/>
      <c r="C888" s="52"/>
      <c r="D888" s="52"/>
      <c r="E888" s="52"/>
    </row>
    <row r="889">
      <c r="A889" s="52"/>
      <c r="B889" s="52"/>
      <c r="C889" s="52"/>
      <c r="D889" s="52"/>
      <c r="E889" s="52"/>
    </row>
    <row r="890">
      <c r="A890" s="52"/>
      <c r="B890" s="52"/>
      <c r="C890" s="52"/>
      <c r="D890" s="52"/>
      <c r="E890" s="52"/>
    </row>
    <row r="891">
      <c r="A891" s="52"/>
      <c r="B891" s="52"/>
      <c r="C891" s="52"/>
      <c r="D891" s="52"/>
      <c r="E891" s="52"/>
    </row>
    <row r="892">
      <c r="A892" s="52"/>
      <c r="B892" s="52"/>
      <c r="C892" s="52"/>
      <c r="D892" s="52"/>
      <c r="E892" s="52"/>
    </row>
    <row r="893">
      <c r="A893" s="52"/>
      <c r="B893" s="52"/>
      <c r="C893" s="52"/>
      <c r="D893" s="52"/>
      <c r="E893" s="52"/>
    </row>
    <row r="894">
      <c r="A894" s="52"/>
      <c r="B894" s="52"/>
      <c r="C894" s="52"/>
      <c r="D894" s="52"/>
      <c r="E894" s="52"/>
    </row>
    <row r="895">
      <c r="A895" s="52"/>
      <c r="B895" s="52"/>
      <c r="C895" s="52"/>
      <c r="D895" s="52"/>
      <c r="E895" s="52"/>
    </row>
    <row r="896">
      <c r="A896" s="52"/>
      <c r="B896" s="52"/>
      <c r="C896" s="52"/>
      <c r="D896" s="52"/>
      <c r="E896" s="52"/>
    </row>
    <row r="897">
      <c r="A897" s="52"/>
      <c r="B897" s="52"/>
      <c r="C897" s="52"/>
      <c r="D897" s="52"/>
      <c r="E897" s="52"/>
    </row>
    <row r="898">
      <c r="A898" s="52"/>
      <c r="B898" s="52"/>
      <c r="C898" s="52"/>
      <c r="D898" s="52"/>
      <c r="E898" s="52"/>
    </row>
    <row r="899">
      <c r="A899" s="52"/>
      <c r="B899" s="52"/>
      <c r="C899" s="52"/>
      <c r="D899" s="52"/>
      <c r="E899" s="52"/>
    </row>
    <row r="900">
      <c r="A900" s="52"/>
      <c r="B900" s="52"/>
      <c r="C900" s="52"/>
      <c r="D900" s="52"/>
      <c r="E900" s="52"/>
    </row>
    <row r="901">
      <c r="A901" s="52"/>
      <c r="B901" s="52"/>
      <c r="C901" s="52"/>
      <c r="D901" s="52"/>
      <c r="E901" s="52"/>
    </row>
    <row r="902">
      <c r="A902" s="52"/>
      <c r="B902" s="52"/>
      <c r="C902" s="52"/>
      <c r="D902" s="52"/>
      <c r="E902" s="52"/>
    </row>
    <row r="903">
      <c r="A903" s="52"/>
      <c r="B903" s="52"/>
      <c r="C903" s="52"/>
      <c r="D903" s="52"/>
      <c r="E903" s="52"/>
    </row>
    <row r="904">
      <c r="A904" s="52"/>
      <c r="B904" s="52"/>
      <c r="C904" s="52"/>
      <c r="D904" s="52"/>
      <c r="E904" s="52"/>
    </row>
    <row r="905">
      <c r="A905" s="52"/>
      <c r="B905" s="52"/>
      <c r="C905" s="52"/>
      <c r="D905" s="52"/>
      <c r="E905" s="52"/>
    </row>
    <row r="906">
      <c r="A906" s="52"/>
      <c r="B906" s="52"/>
      <c r="C906" s="52"/>
      <c r="D906" s="52"/>
      <c r="E906" s="52"/>
    </row>
    <row r="907">
      <c r="A907" s="52"/>
      <c r="B907" s="52"/>
      <c r="C907" s="52"/>
      <c r="D907" s="52"/>
      <c r="E907" s="52"/>
    </row>
    <row r="908">
      <c r="A908" s="52"/>
      <c r="B908" s="52"/>
      <c r="C908" s="52"/>
      <c r="D908" s="52"/>
      <c r="E908" s="52"/>
    </row>
    <row r="909">
      <c r="A909" s="52"/>
      <c r="B909" s="52"/>
      <c r="C909" s="52"/>
      <c r="D909" s="52"/>
      <c r="E909" s="52"/>
    </row>
    <row r="910">
      <c r="A910" s="52"/>
      <c r="B910" s="52"/>
      <c r="C910" s="52"/>
      <c r="D910" s="52"/>
      <c r="E910" s="52"/>
    </row>
    <row r="911">
      <c r="A911" s="52"/>
      <c r="B911" s="52"/>
      <c r="C911" s="52"/>
      <c r="D911" s="52"/>
      <c r="E911" s="52"/>
    </row>
    <row r="912">
      <c r="A912" s="52"/>
      <c r="B912" s="52"/>
      <c r="C912" s="52"/>
      <c r="D912" s="52"/>
      <c r="E912" s="52"/>
    </row>
    <row r="913">
      <c r="A913" s="52"/>
      <c r="B913" s="52"/>
      <c r="C913" s="52"/>
      <c r="D913" s="52"/>
      <c r="E913" s="52"/>
    </row>
    <row r="914">
      <c r="A914" s="52"/>
      <c r="B914" s="52"/>
      <c r="C914" s="52"/>
      <c r="D914" s="52"/>
      <c r="E914" s="52"/>
    </row>
    <row r="915">
      <c r="A915" s="52"/>
      <c r="B915" s="52"/>
      <c r="C915" s="52"/>
      <c r="D915" s="52"/>
      <c r="E915" s="52"/>
    </row>
    <row r="916">
      <c r="A916" s="52"/>
      <c r="B916" s="52"/>
      <c r="C916" s="52"/>
      <c r="D916" s="52"/>
      <c r="E916" s="52"/>
    </row>
    <row r="917">
      <c r="A917" s="52"/>
      <c r="B917" s="52"/>
      <c r="C917" s="52"/>
      <c r="D917" s="52"/>
      <c r="E917" s="52"/>
    </row>
    <row r="918">
      <c r="A918" s="52"/>
      <c r="B918" s="52"/>
      <c r="C918" s="52"/>
      <c r="D918" s="52"/>
      <c r="E918" s="52"/>
    </row>
    <row r="919">
      <c r="A919" s="52"/>
      <c r="B919" s="52"/>
      <c r="C919" s="52"/>
      <c r="D919" s="52"/>
      <c r="E919" s="52"/>
    </row>
    <row r="920">
      <c r="A920" s="52"/>
      <c r="B920" s="52"/>
      <c r="C920" s="52"/>
      <c r="D920" s="52"/>
      <c r="E920" s="52"/>
    </row>
    <row r="921">
      <c r="A921" s="52"/>
      <c r="B921" s="52"/>
      <c r="C921" s="52"/>
      <c r="D921" s="52"/>
      <c r="E921" s="52"/>
    </row>
    <row r="922">
      <c r="A922" s="52"/>
      <c r="B922" s="52"/>
      <c r="C922" s="52"/>
      <c r="D922" s="52"/>
      <c r="E922" s="52"/>
    </row>
    <row r="923">
      <c r="A923" s="52"/>
      <c r="B923" s="52"/>
      <c r="C923" s="52"/>
      <c r="D923" s="52"/>
      <c r="E923" s="52"/>
    </row>
    <row r="924">
      <c r="A924" s="52"/>
      <c r="B924" s="52"/>
      <c r="C924" s="52"/>
      <c r="D924" s="52"/>
      <c r="E924" s="52"/>
    </row>
    <row r="925">
      <c r="A925" s="52"/>
      <c r="B925" s="52"/>
      <c r="C925" s="52"/>
      <c r="D925" s="52"/>
      <c r="E925" s="52"/>
    </row>
    <row r="926">
      <c r="A926" s="52"/>
      <c r="B926" s="52"/>
      <c r="C926" s="52"/>
      <c r="D926" s="52"/>
      <c r="E926" s="52"/>
    </row>
    <row r="927">
      <c r="A927" s="52"/>
      <c r="B927" s="52"/>
      <c r="C927" s="52"/>
      <c r="D927" s="52"/>
      <c r="E927" s="52"/>
    </row>
    <row r="928">
      <c r="A928" s="52"/>
      <c r="B928" s="52"/>
      <c r="C928" s="52"/>
      <c r="D928" s="52"/>
      <c r="E928" s="52"/>
    </row>
    <row r="929">
      <c r="A929" s="52"/>
      <c r="B929" s="52"/>
      <c r="C929" s="52"/>
      <c r="D929" s="52"/>
      <c r="E929" s="52"/>
    </row>
    <row r="930">
      <c r="A930" s="52"/>
      <c r="B930" s="52"/>
      <c r="C930" s="52"/>
      <c r="D930" s="52"/>
      <c r="E930" s="52"/>
    </row>
    <row r="931">
      <c r="A931" s="52"/>
      <c r="B931" s="52"/>
      <c r="C931" s="52"/>
      <c r="D931" s="52"/>
      <c r="E931" s="52"/>
    </row>
    <row r="932">
      <c r="A932" s="52"/>
      <c r="B932" s="52"/>
      <c r="C932" s="52"/>
      <c r="D932" s="52"/>
      <c r="E932" s="52"/>
    </row>
    <row r="933">
      <c r="A933" s="52"/>
      <c r="B933" s="52"/>
      <c r="C933" s="52"/>
      <c r="D933" s="52"/>
      <c r="E933" s="52"/>
    </row>
    <row r="934">
      <c r="A934" s="52"/>
      <c r="B934" s="52"/>
      <c r="C934" s="52"/>
      <c r="D934" s="52"/>
      <c r="E934" s="52"/>
    </row>
    <row r="935">
      <c r="A935" s="52"/>
      <c r="B935" s="52"/>
      <c r="C935" s="52"/>
      <c r="D935" s="52"/>
      <c r="E935" s="52"/>
    </row>
    <row r="936">
      <c r="A936" s="52"/>
      <c r="B936" s="52"/>
      <c r="C936" s="52"/>
      <c r="D936" s="52"/>
      <c r="E936" s="52"/>
    </row>
    <row r="937">
      <c r="A937" s="52"/>
      <c r="B937" s="52"/>
      <c r="C937" s="52"/>
      <c r="D937" s="52"/>
      <c r="E937" s="52"/>
    </row>
    <row r="938">
      <c r="A938" s="52"/>
      <c r="B938" s="52"/>
      <c r="C938" s="52"/>
      <c r="D938" s="52"/>
      <c r="E938" s="52"/>
    </row>
    <row r="939">
      <c r="A939" s="52"/>
      <c r="B939" s="52"/>
      <c r="C939" s="52"/>
      <c r="D939" s="52"/>
      <c r="E939" s="52"/>
    </row>
    <row r="940">
      <c r="A940" s="52"/>
      <c r="B940" s="52"/>
      <c r="C940" s="52"/>
      <c r="D940" s="52"/>
      <c r="E940" s="52"/>
    </row>
    <row r="941">
      <c r="A941" s="52"/>
      <c r="B941" s="52"/>
      <c r="C941" s="52"/>
      <c r="D941" s="52"/>
      <c r="E941" s="52"/>
    </row>
    <row r="942">
      <c r="A942" s="52"/>
      <c r="B942" s="52"/>
      <c r="C942" s="52"/>
      <c r="D942" s="52"/>
      <c r="E942" s="52"/>
    </row>
    <row r="943">
      <c r="A943" s="52"/>
      <c r="B943" s="52"/>
      <c r="C943" s="52"/>
      <c r="D943" s="52"/>
      <c r="E943" s="52"/>
    </row>
    <row r="944">
      <c r="A944" s="52"/>
      <c r="B944" s="52"/>
      <c r="C944" s="52"/>
      <c r="D944" s="52"/>
      <c r="E944" s="52"/>
    </row>
    <row r="945">
      <c r="A945" s="52"/>
      <c r="B945" s="52"/>
      <c r="C945" s="52"/>
      <c r="D945" s="52"/>
      <c r="E945" s="52"/>
    </row>
    <row r="946">
      <c r="A946" s="52"/>
      <c r="B946" s="52"/>
      <c r="C946" s="52"/>
      <c r="D946" s="52"/>
      <c r="E946" s="52"/>
    </row>
    <row r="947">
      <c r="A947" s="52"/>
      <c r="B947" s="52"/>
      <c r="C947" s="52"/>
      <c r="D947" s="52"/>
      <c r="E947" s="52"/>
    </row>
    <row r="948">
      <c r="A948" s="52"/>
      <c r="B948" s="52"/>
      <c r="C948" s="52"/>
      <c r="D948" s="52"/>
      <c r="E948" s="52"/>
    </row>
    <row r="949">
      <c r="A949" s="52"/>
      <c r="B949" s="52"/>
      <c r="C949" s="52"/>
      <c r="D949" s="52"/>
      <c r="E949" s="52"/>
    </row>
    <row r="950">
      <c r="A950" s="52"/>
      <c r="B950" s="52"/>
      <c r="C950" s="52"/>
      <c r="D950" s="52"/>
      <c r="E950" s="52"/>
    </row>
    <row r="951">
      <c r="A951" s="52"/>
      <c r="B951" s="52"/>
      <c r="C951" s="52"/>
      <c r="D951" s="52"/>
      <c r="E951" s="52"/>
    </row>
    <row r="952">
      <c r="A952" s="52"/>
      <c r="B952" s="52"/>
      <c r="C952" s="52"/>
      <c r="D952" s="52"/>
      <c r="E952" s="52"/>
    </row>
    <row r="953">
      <c r="A953" s="52"/>
      <c r="B953" s="52"/>
      <c r="C953" s="52"/>
      <c r="D953" s="52"/>
      <c r="E953" s="52"/>
    </row>
    <row r="954">
      <c r="A954" s="52"/>
      <c r="B954" s="52"/>
      <c r="C954" s="52"/>
      <c r="D954" s="52"/>
      <c r="E954" s="52"/>
    </row>
    <row r="955">
      <c r="A955" s="52"/>
      <c r="B955" s="52"/>
      <c r="C955" s="52"/>
      <c r="D955" s="52"/>
      <c r="E955" s="52"/>
    </row>
    <row r="956">
      <c r="A956" s="52"/>
      <c r="B956" s="52"/>
      <c r="C956" s="52"/>
      <c r="D956" s="52"/>
      <c r="E956" s="52"/>
    </row>
    <row r="957">
      <c r="A957" s="52"/>
      <c r="B957" s="52"/>
      <c r="C957" s="52"/>
      <c r="D957" s="52"/>
      <c r="E957" s="52"/>
    </row>
    <row r="958">
      <c r="A958" s="52"/>
      <c r="B958" s="52"/>
      <c r="C958" s="52"/>
      <c r="D958" s="52"/>
      <c r="E958" s="52"/>
    </row>
    <row r="959">
      <c r="A959" s="52"/>
      <c r="B959" s="52"/>
      <c r="C959" s="52"/>
      <c r="D959" s="52"/>
      <c r="E959" s="52"/>
    </row>
    <row r="960">
      <c r="A960" s="52"/>
      <c r="B960" s="52"/>
      <c r="C960" s="52"/>
      <c r="D960" s="52"/>
      <c r="E960" s="52"/>
    </row>
    <row r="961">
      <c r="A961" s="52"/>
      <c r="B961" s="52"/>
      <c r="C961" s="52"/>
      <c r="D961" s="52"/>
      <c r="E961" s="52"/>
    </row>
    <row r="962">
      <c r="A962" s="52"/>
      <c r="B962" s="52"/>
      <c r="C962" s="52"/>
      <c r="D962" s="52"/>
      <c r="E962" s="52"/>
    </row>
    <row r="963">
      <c r="A963" s="52"/>
      <c r="B963" s="52"/>
      <c r="C963" s="52"/>
      <c r="D963" s="52"/>
      <c r="E963" s="52"/>
    </row>
    <row r="964">
      <c r="A964" s="52"/>
      <c r="B964" s="52"/>
      <c r="C964" s="52"/>
      <c r="D964" s="52"/>
      <c r="E964" s="52"/>
    </row>
    <row r="965">
      <c r="A965" s="52"/>
      <c r="B965" s="52"/>
      <c r="C965" s="52"/>
      <c r="D965" s="52"/>
      <c r="E965" s="52"/>
    </row>
    <row r="966">
      <c r="A966" s="52"/>
      <c r="B966" s="52"/>
      <c r="C966" s="52"/>
      <c r="D966" s="52"/>
      <c r="E966" s="52"/>
    </row>
    <row r="967">
      <c r="A967" s="52"/>
      <c r="B967" s="52"/>
      <c r="C967" s="52"/>
      <c r="D967" s="52"/>
      <c r="E967" s="52"/>
    </row>
    <row r="968">
      <c r="A968" s="52"/>
      <c r="B968" s="52"/>
      <c r="C968" s="52"/>
      <c r="D968" s="52"/>
      <c r="E968" s="52"/>
    </row>
    <row r="969">
      <c r="A969" s="52"/>
      <c r="B969" s="52"/>
      <c r="C969" s="52"/>
      <c r="D969" s="52"/>
      <c r="E969" s="52"/>
    </row>
    <row r="970">
      <c r="A970" s="52"/>
      <c r="B970" s="52"/>
      <c r="C970" s="52"/>
      <c r="D970" s="52"/>
      <c r="E970" s="52"/>
    </row>
    <row r="971">
      <c r="A971" s="52"/>
      <c r="B971" s="52"/>
      <c r="C971" s="52"/>
      <c r="D971" s="52"/>
      <c r="E971" s="52"/>
    </row>
    <row r="972">
      <c r="A972" s="52"/>
      <c r="B972" s="52"/>
      <c r="C972" s="52"/>
      <c r="D972" s="52"/>
      <c r="E972" s="52"/>
    </row>
    <row r="973">
      <c r="A973" s="52"/>
      <c r="B973" s="52"/>
      <c r="C973" s="52"/>
      <c r="D973" s="52"/>
      <c r="E973" s="52"/>
    </row>
    <row r="974">
      <c r="A974" s="52"/>
      <c r="B974" s="52"/>
      <c r="C974" s="52"/>
      <c r="D974" s="52"/>
      <c r="E974" s="52"/>
    </row>
    <row r="975">
      <c r="A975" s="52"/>
      <c r="B975" s="52"/>
      <c r="C975" s="52"/>
      <c r="D975" s="52"/>
      <c r="E975" s="52"/>
    </row>
    <row r="976">
      <c r="A976" s="52"/>
      <c r="B976" s="52"/>
      <c r="C976" s="52"/>
      <c r="D976" s="52"/>
      <c r="E976" s="52"/>
    </row>
    <row r="977">
      <c r="A977" s="52"/>
      <c r="B977" s="52"/>
      <c r="C977" s="52"/>
      <c r="D977" s="52"/>
      <c r="E977" s="52"/>
    </row>
    <row r="978">
      <c r="A978" s="52"/>
      <c r="B978" s="52"/>
      <c r="C978" s="52"/>
      <c r="D978" s="52"/>
      <c r="E978" s="52"/>
    </row>
    <row r="979">
      <c r="A979" s="52"/>
      <c r="B979" s="52"/>
      <c r="C979" s="52"/>
      <c r="D979" s="52"/>
      <c r="E979" s="52"/>
    </row>
    <row r="980">
      <c r="A980" s="52"/>
      <c r="B980" s="52"/>
      <c r="C980" s="52"/>
      <c r="D980" s="52"/>
      <c r="E980" s="52"/>
    </row>
    <row r="981">
      <c r="A981" s="52"/>
      <c r="B981" s="52"/>
      <c r="C981" s="52"/>
      <c r="D981" s="52"/>
      <c r="E981" s="52"/>
    </row>
    <row r="982">
      <c r="A982" s="52"/>
      <c r="B982" s="52"/>
      <c r="C982" s="52"/>
      <c r="D982" s="52"/>
      <c r="E982" s="52"/>
    </row>
    <row r="983">
      <c r="A983" s="52"/>
      <c r="B983" s="52"/>
      <c r="C983" s="52"/>
      <c r="D983" s="52"/>
      <c r="E983" s="52"/>
    </row>
    <row r="984">
      <c r="A984" s="52"/>
      <c r="B984" s="52"/>
      <c r="C984" s="52"/>
      <c r="D984" s="52"/>
      <c r="E984" s="52"/>
    </row>
    <row r="985">
      <c r="A985" s="52"/>
      <c r="B985" s="52"/>
      <c r="C985" s="52"/>
      <c r="D985" s="52"/>
      <c r="E985" s="52"/>
    </row>
    <row r="986">
      <c r="A986" s="52"/>
      <c r="B986" s="52"/>
      <c r="C986" s="52"/>
      <c r="D986" s="52"/>
      <c r="E986" s="52"/>
    </row>
    <row r="987">
      <c r="A987" s="52"/>
      <c r="B987" s="52"/>
      <c r="C987" s="52"/>
      <c r="D987" s="52"/>
      <c r="E987" s="52"/>
    </row>
    <row r="988">
      <c r="A988" s="52"/>
      <c r="B988" s="52"/>
      <c r="C988" s="52"/>
      <c r="D988" s="52"/>
      <c r="E988" s="52"/>
    </row>
    <row r="989">
      <c r="A989" s="52"/>
      <c r="B989" s="52"/>
      <c r="C989" s="52"/>
      <c r="D989" s="52"/>
      <c r="E989" s="52"/>
    </row>
    <row r="990">
      <c r="A990" s="52"/>
      <c r="B990" s="52"/>
      <c r="C990" s="52"/>
      <c r="D990" s="52"/>
      <c r="E990" s="52"/>
    </row>
    <row r="991">
      <c r="A991" s="52"/>
      <c r="B991" s="52"/>
      <c r="C991" s="52"/>
      <c r="D991" s="52"/>
      <c r="E991" s="52"/>
    </row>
    <row r="992">
      <c r="A992" s="52"/>
      <c r="B992" s="52"/>
      <c r="C992" s="52"/>
      <c r="D992" s="52"/>
      <c r="E992" s="52"/>
    </row>
    <row r="993">
      <c r="A993" s="52"/>
      <c r="B993" s="52"/>
      <c r="C993" s="52"/>
      <c r="D993" s="52"/>
      <c r="E993" s="52"/>
    </row>
    <row r="994">
      <c r="A994" s="52"/>
      <c r="B994" s="52"/>
      <c r="C994" s="52"/>
      <c r="D994" s="52"/>
      <c r="E994" s="52"/>
    </row>
    <row r="995">
      <c r="A995" s="52"/>
      <c r="B995" s="52"/>
      <c r="C995" s="52"/>
      <c r="D995" s="52"/>
      <c r="E995" s="52"/>
    </row>
    <row r="996">
      <c r="A996" s="52"/>
      <c r="B996" s="52"/>
      <c r="C996" s="52"/>
      <c r="D996" s="52"/>
      <c r="E996" s="52"/>
    </row>
    <row r="997">
      <c r="A997" s="52"/>
      <c r="B997" s="52"/>
      <c r="C997" s="52"/>
      <c r="D997" s="52"/>
      <c r="E997" s="52"/>
    </row>
    <row r="998">
      <c r="A998" s="52"/>
      <c r="B998" s="52"/>
      <c r="C998" s="52"/>
      <c r="D998" s="52"/>
      <c r="E998" s="52"/>
    </row>
    <row r="999">
      <c r="A999" s="52"/>
      <c r="B999" s="52"/>
      <c r="C999" s="52"/>
      <c r="D999" s="52"/>
      <c r="E999" s="52"/>
    </row>
    <row r="1000">
      <c r="A1000" s="52"/>
      <c r="B1000" s="52"/>
      <c r="C1000" s="52"/>
      <c r="D1000" s="52"/>
      <c r="E1000" s="52"/>
    </row>
  </sheetData>
  <hyperlinks>
    <hyperlink r:id="rId1" location="RANGE!gid=846738644" ref="B5"/>
    <hyperlink r:id="rId2" location="RANGE!gid=1794882373" ref="B6"/>
    <hyperlink r:id="rId3" location="RANGE!gid=14733121" ref="B7"/>
    <hyperlink r:id="rId4" location="RANGE!gid=390802546" ref="B8"/>
    <hyperlink r:id="rId5" location="RANGE!gid=713766457" ref="B9"/>
    <hyperlink r:id="rId6" location="RANGE!gid=1091583229" ref="B10"/>
    <hyperlink r:id="rId7" location="RANGE!gid=1712099127" ref="B11"/>
    <hyperlink r:id="rId8" location="RANGE!gid=1378072522" ref="B12"/>
    <hyperlink r:id="rId9" location="RANGE!gid=92632770" ref="B14"/>
    <hyperlink r:id="rId10" location="RANGE!gid=1632856491" ref="B15"/>
    <hyperlink r:id="rId11" location="RANGE!gid=1829278619" ref="B16"/>
    <hyperlink r:id="rId12" location="RANGE!gid=65840027" ref="B17"/>
    <hyperlink r:id="rId13" location="RANGE!gid=1508301445" ref="B18"/>
    <hyperlink r:id="rId14" location="RANGE!gid=600869083" ref="B19"/>
    <hyperlink r:id="rId15" location="RANGE!gid=678276715" ref="B20"/>
    <hyperlink r:id="rId16" location="RANGE!gid=1178010338" ref="B21"/>
    <hyperlink r:id="rId17" location="RANGE!gid=2067074265" ref="B22"/>
    <hyperlink r:id="rId18" location="RANGE!gid=1930550365" ref="B25"/>
    <hyperlink r:id="rId19" location="RANGE!gid=74425973" ref="B27"/>
    <hyperlink r:id="rId20" location="RANGE!gid=2014444294" ref="B28"/>
    <hyperlink r:id="rId21" location="RANGE!gid=1324387500" ref="B29"/>
    <hyperlink r:id="rId22" location="RANGE!gid=1891293066" ref="B36"/>
    <hyperlink r:id="rId23" location="RANGE!gid=1078095294" ref="B37"/>
    <hyperlink r:id="rId24" location="RANGE!gid=1666798793" ref="B38"/>
    <hyperlink r:id="rId25" location="RANGE!gid=136151010" ref="B39"/>
    <hyperlink r:id="rId26" location="RANGE!gid=1104724786" ref="B40"/>
    <hyperlink r:id="rId27" location="RANGE!gid=853140343" ref="B41"/>
  </hyperlinks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75"/>
  </cols>
  <sheetData>
    <row r="1">
      <c r="B1" s="103" t="s">
        <v>112</v>
      </c>
      <c r="C1" s="103" t="s">
        <v>113</v>
      </c>
      <c r="D1" s="103" t="s">
        <v>8</v>
      </c>
      <c r="E1" s="103" t="s">
        <v>114</v>
      </c>
      <c r="F1" s="103" t="s">
        <v>115</v>
      </c>
    </row>
    <row r="2">
      <c r="B2" s="103" t="s">
        <v>116</v>
      </c>
      <c r="C2" s="103">
        <v>65000.0</v>
      </c>
      <c r="D2" s="103">
        <v>3000.0</v>
      </c>
      <c r="E2" s="19">
        <f t="shared" ref="E2:E7" si="1">C2+D2</f>
        <v>68000</v>
      </c>
      <c r="F2" s="19">
        <f t="shared" ref="F2:F7" si="2">E2*0.7</f>
        <v>47600</v>
      </c>
    </row>
    <row r="3">
      <c r="B3" s="103" t="s">
        <v>117</v>
      </c>
      <c r="C3" s="103">
        <v>40000.0</v>
      </c>
      <c r="D3" s="103">
        <v>5000.0</v>
      </c>
      <c r="E3" s="19">
        <f t="shared" si="1"/>
        <v>45000</v>
      </c>
      <c r="F3" s="19">
        <f t="shared" si="2"/>
        <v>31500</v>
      </c>
    </row>
    <row r="4">
      <c r="B4" s="103" t="s">
        <v>118</v>
      </c>
      <c r="C4" s="103">
        <v>70000.0</v>
      </c>
      <c r="D4" s="103">
        <v>70000.0</v>
      </c>
      <c r="E4" s="19">
        <f t="shared" si="1"/>
        <v>140000</v>
      </c>
      <c r="F4" s="19">
        <f t="shared" si="2"/>
        <v>98000</v>
      </c>
    </row>
    <row r="5">
      <c r="B5" s="103" t="s">
        <v>119</v>
      </c>
      <c r="C5" s="103">
        <v>90000.0</v>
      </c>
      <c r="D5" s="103">
        <v>70000.0</v>
      </c>
      <c r="E5" s="19">
        <f t="shared" si="1"/>
        <v>160000</v>
      </c>
      <c r="F5" s="19">
        <f t="shared" si="2"/>
        <v>112000</v>
      </c>
    </row>
    <row r="6">
      <c r="B6" s="103" t="s">
        <v>120</v>
      </c>
      <c r="C6" s="103">
        <v>60000.0</v>
      </c>
      <c r="D6" s="103">
        <v>70000.0</v>
      </c>
      <c r="E6" s="19">
        <f t="shared" si="1"/>
        <v>130000</v>
      </c>
      <c r="F6" s="19">
        <f t="shared" si="2"/>
        <v>91000</v>
      </c>
    </row>
    <row r="7">
      <c r="B7" s="103" t="s">
        <v>121</v>
      </c>
      <c r="C7" s="103">
        <v>20000.0</v>
      </c>
      <c r="D7" s="103">
        <v>60000.0</v>
      </c>
      <c r="E7" s="19">
        <f t="shared" si="1"/>
        <v>80000</v>
      </c>
      <c r="F7" s="19">
        <f t="shared" si="2"/>
        <v>56000</v>
      </c>
    </row>
    <row r="9">
      <c r="B9" s="104" t="s">
        <v>122</v>
      </c>
      <c r="C9" s="104" t="s">
        <v>123</v>
      </c>
    </row>
    <row r="10">
      <c r="B10" s="105">
        <v>44856.0</v>
      </c>
      <c r="C10" s="103">
        <v>50000.0</v>
      </c>
    </row>
    <row r="11">
      <c r="B11" s="105">
        <v>44887.0</v>
      </c>
      <c r="C11" s="103">
        <v>50000.0</v>
      </c>
    </row>
    <row r="12">
      <c r="B12" s="105">
        <v>44917.0</v>
      </c>
      <c r="C12" s="103">
        <v>50000.0</v>
      </c>
    </row>
    <row r="13">
      <c r="B13" s="105">
        <v>44584.0</v>
      </c>
      <c r="C13" s="103">
        <v>100000.0</v>
      </c>
    </row>
    <row r="14">
      <c r="B14" s="105">
        <v>44615.0</v>
      </c>
      <c r="C14" s="103">
        <v>50000.0</v>
      </c>
    </row>
    <row r="15">
      <c r="B15" s="105">
        <v>44643.0</v>
      </c>
      <c r="C15" s="103">
        <v>40000.0</v>
      </c>
    </row>
    <row r="16">
      <c r="B16" s="56"/>
      <c r="C16" s="19"/>
    </row>
    <row r="17">
      <c r="B17" s="104" t="s">
        <v>124</v>
      </c>
      <c r="C17" s="19">
        <f>SUM(C10:C15)</f>
        <v>340000</v>
      </c>
    </row>
    <row r="18">
      <c r="B18" s="104" t="s">
        <v>125</v>
      </c>
      <c r="C18" s="103">
        <v>105000.0</v>
      </c>
    </row>
    <row r="19">
      <c r="B19" s="106" t="s">
        <v>126</v>
      </c>
      <c r="C19" s="19">
        <f>C17-C18</f>
        <v>235000</v>
      </c>
      <c r="D19" s="107" t="s">
        <v>127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6.5"/>
    <col customWidth="1" min="4" max="4" width="10.13"/>
    <col customWidth="1" min="5" max="5" width="9.75"/>
    <col customWidth="1" min="6" max="6" width="10.5"/>
    <col customWidth="1" min="7" max="7" width="9.88"/>
    <col customWidth="1" min="8" max="8" width="7.88"/>
    <col customWidth="1" min="9" max="9" width="10.63"/>
    <col customWidth="1" min="10" max="10" width="9.5"/>
    <col customWidth="1" min="11" max="11" width="7.25"/>
    <col customWidth="1" min="12" max="12" width="8.75"/>
    <col customWidth="1" min="13" max="13" width="8.88"/>
    <col customWidth="1" min="14" max="14" width="7.5"/>
    <col customWidth="1" min="15" max="15" width="9.5"/>
  </cols>
  <sheetData>
    <row r="1">
      <c r="A1" s="4"/>
      <c r="B1" s="108"/>
      <c r="C1" s="4"/>
      <c r="D1" s="109" t="s">
        <v>128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4" t="s">
        <v>129</v>
      </c>
      <c r="B2" s="110" t="s">
        <v>1</v>
      </c>
      <c r="C2" s="104" t="s">
        <v>2</v>
      </c>
      <c r="D2" s="111">
        <v>44673.0</v>
      </c>
      <c r="E2" s="111">
        <v>44703.0</v>
      </c>
      <c r="F2" s="111">
        <v>44734.0</v>
      </c>
      <c r="G2" s="111">
        <v>44764.0</v>
      </c>
      <c r="H2" s="111">
        <v>44795.0</v>
      </c>
      <c r="I2" s="111">
        <v>44826.0</v>
      </c>
      <c r="J2" s="111">
        <v>44856.0</v>
      </c>
      <c r="K2" s="111">
        <v>44887.0</v>
      </c>
      <c r="L2" s="111">
        <v>44917.0</v>
      </c>
      <c r="M2" s="111">
        <v>44584.0</v>
      </c>
      <c r="N2" s="111">
        <v>44615.0</v>
      </c>
      <c r="O2" s="105">
        <v>44643.0</v>
      </c>
      <c r="P2" s="104" t="s">
        <v>124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03">
        <v>1.0</v>
      </c>
      <c r="B3" s="112" t="s">
        <v>19</v>
      </c>
      <c r="C3" s="113" t="s">
        <v>20</v>
      </c>
      <c r="D3" s="103">
        <v>0.0</v>
      </c>
      <c r="E3" s="103">
        <v>6.0</v>
      </c>
      <c r="F3" s="103">
        <v>15.0</v>
      </c>
      <c r="G3" s="103">
        <v>17.0</v>
      </c>
      <c r="H3" s="103">
        <v>23.0</v>
      </c>
      <c r="I3" s="103">
        <v>6.0</v>
      </c>
      <c r="J3" s="103">
        <v>10.0</v>
      </c>
      <c r="K3" s="103">
        <v>10.0</v>
      </c>
      <c r="L3" s="103">
        <v>0.0</v>
      </c>
      <c r="M3" s="103">
        <v>2.0</v>
      </c>
      <c r="N3" s="19"/>
      <c r="O3" s="19"/>
      <c r="P3" s="19">
        <f t="shared" ref="P3:P44" si="1">SUM(D3:O3)</f>
        <v>89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3">
        <v>2.0</v>
      </c>
      <c r="B4" s="114" t="s">
        <v>23</v>
      </c>
      <c r="C4" s="113" t="s">
        <v>24</v>
      </c>
      <c r="D4" s="103">
        <v>0.0</v>
      </c>
      <c r="E4" s="103">
        <v>0.0</v>
      </c>
      <c r="F4" s="103">
        <v>4.0</v>
      </c>
      <c r="G4" s="103">
        <v>0.0</v>
      </c>
      <c r="H4" s="103">
        <v>0.0</v>
      </c>
      <c r="I4" s="103">
        <v>0.0</v>
      </c>
      <c r="J4" s="103">
        <v>0.0</v>
      </c>
      <c r="K4" s="103">
        <v>12.0</v>
      </c>
      <c r="L4" s="103">
        <v>0.0</v>
      </c>
      <c r="M4" s="103">
        <v>2.0</v>
      </c>
      <c r="N4" s="19"/>
      <c r="O4" s="19"/>
      <c r="P4" s="19">
        <f t="shared" si="1"/>
        <v>18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3">
        <v>3.0</v>
      </c>
      <c r="B5" s="114" t="s">
        <v>26</v>
      </c>
      <c r="C5" s="113" t="s">
        <v>27</v>
      </c>
      <c r="D5" s="103">
        <v>0.0</v>
      </c>
      <c r="E5" s="103">
        <v>0.0</v>
      </c>
      <c r="F5" s="103">
        <v>2.0</v>
      </c>
      <c r="G5" s="103">
        <v>3.0</v>
      </c>
      <c r="H5" s="103">
        <v>20.0</v>
      </c>
      <c r="I5" s="103">
        <v>0.0</v>
      </c>
      <c r="J5" s="103">
        <v>0.0</v>
      </c>
      <c r="K5" s="103">
        <v>0.0</v>
      </c>
      <c r="L5" s="103">
        <v>0.0</v>
      </c>
      <c r="M5" s="103">
        <v>0.0</v>
      </c>
      <c r="N5" s="19"/>
      <c r="O5" s="19"/>
      <c r="P5" s="19">
        <f t="shared" si="1"/>
        <v>25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3">
        <v>4.0</v>
      </c>
      <c r="B6" s="114" t="s">
        <v>26</v>
      </c>
      <c r="C6" s="113" t="s">
        <v>29</v>
      </c>
      <c r="D6" s="103">
        <v>0.0</v>
      </c>
      <c r="E6" s="103">
        <v>7.0</v>
      </c>
      <c r="F6" s="103">
        <v>2.0</v>
      </c>
      <c r="G6" s="103">
        <v>15.0</v>
      </c>
      <c r="H6" s="103">
        <v>18.0</v>
      </c>
      <c r="I6" s="103">
        <v>2.0</v>
      </c>
      <c r="J6" s="103">
        <v>0.0</v>
      </c>
      <c r="K6" s="103">
        <v>0.0</v>
      </c>
      <c r="L6" s="103">
        <v>0.0</v>
      </c>
      <c r="M6" s="103">
        <v>2.0</v>
      </c>
      <c r="N6" s="19"/>
      <c r="O6" s="19"/>
      <c r="P6" s="19">
        <f t="shared" si="1"/>
        <v>46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03">
        <v>5.0</v>
      </c>
      <c r="B7" s="114" t="s">
        <v>26</v>
      </c>
      <c r="C7" s="113" t="s">
        <v>31</v>
      </c>
      <c r="D7" s="103">
        <v>0.0</v>
      </c>
      <c r="E7" s="103">
        <v>0.0</v>
      </c>
      <c r="F7" s="103">
        <v>8.0</v>
      </c>
      <c r="G7" s="103">
        <v>92.0</v>
      </c>
      <c r="H7" s="103">
        <v>121.0</v>
      </c>
      <c r="I7" s="103">
        <v>0.0</v>
      </c>
      <c r="J7" s="103">
        <v>5.0</v>
      </c>
      <c r="K7" s="103">
        <v>0.0</v>
      </c>
      <c r="L7" s="103">
        <v>0.0</v>
      </c>
      <c r="M7" s="103">
        <v>1.0</v>
      </c>
      <c r="N7" s="19"/>
      <c r="O7" s="19"/>
      <c r="P7" s="19">
        <f t="shared" si="1"/>
        <v>227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03">
        <v>6.0</v>
      </c>
      <c r="B8" s="114" t="s">
        <v>26</v>
      </c>
      <c r="C8" s="113" t="s">
        <v>33</v>
      </c>
      <c r="D8" s="103">
        <v>0.0</v>
      </c>
      <c r="E8" s="103">
        <v>0.0</v>
      </c>
      <c r="F8" s="103">
        <v>4.0</v>
      </c>
      <c r="G8" s="103">
        <v>2.0</v>
      </c>
      <c r="H8" s="103">
        <v>12.0</v>
      </c>
      <c r="I8" s="103">
        <v>0.0</v>
      </c>
      <c r="J8" s="103">
        <v>0.0</v>
      </c>
      <c r="K8" s="103">
        <v>0.0</v>
      </c>
      <c r="L8" s="103">
        <v>0.0</v>
      </c>
      <c r="M8" s="103">
        <v>0.0</v>
      </c>
      <c r="N8" s="19"/>
      <c r="O8" s="19"/>
      <c r="P8" s="19">
        <f t="shared" si="1"/>
        <v>18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03">
        <v>7.0</v>
      </c>
      <c r="B9" s="114" t="s">
        <v>35</v>
      </c>
      <c r="C9" s="113" t="s">
        <v>36</v>
      </c>
      <c r="D9" s="103">
        <v>0.0</v>
      </c>
      <c r="E9" s="103">
        <v>2.0</v>
      </c>
      <c r="F9" s="103">
        <v>57.0</v>
      </c>
      <c r="G9" s="103">
        <v>74.0</v>
      </c>
      <c r="H9" s="103">
        <v>138.0</v>
      </c>
      <c r="I9" s="103">
        <v>4.0</v>
      </c>
      <c r="J9" s="103">
        <v>48.0</v>
      </c>
      <c r="K9" s="103">
        <v>19.0</v>
      </c>
      <c r="L9" s="103">
        <v>0.0</v>
      </c>
      <c r="M9" s="103">
        <v>10.0</v>
      </c>
      <c r="N9" s="19"/>
      <c r="O9" s="19"/>
      <c r="P9" s="19">
        <f t="shared" si="1"/>
        <v>352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03">
        <v>8.0</v>
      </c>
      <c r="B10" s="114" t="s">
        <v>130</v>
      </c>
      <c r="C10" s="113" t="s">
        <v>39</v>
      </c>
      <c r="D10" s="103">
        <v>0.0</v>
      </c>
      <c r="E10" s="103">
        <v>6.0</v>
      </c>
      <c r="F10" s="103">
        <v>2.0</v>
      </c>
      <c r="G10" s="103">
        <v>7.0</v>
      </c>
      <c r="H10" s="103">
        <v>22.0</v>
      </c>
      <c r="I10" s="103">
        <v>4.0</v>
      </c>
      <c r="J10" s="103">
        <v>2.0</v>
      </c>
      <c r="K10" s="103">
        <v>0.0</v>
      </c>
      <c r="L10" s="103">
        <v>110.0</v>
      </c>
      <c r="M10" s="103">
        <v>4.0</v>
      </c>
      <c r="N10" s="19"/>
      <c r="O10" s="19"/>
      <c r="P10" s="19">
        <f t="shared" si="1"/>
        <v>157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03">
        <v>9.0</v>
      </c>
      <c r="B11" s="114" t="s">
        <v>42</v>
      </c>
      <c r="C11" s="113" t="s">
        <v>43</v>
      </c>
      <c r="D11" s="103">
        <v>0.0</v>
      </c>
      <c r="E11" s="103">
        <v>0.0</v>
      </c>
      <c r="F11" s="103">
        <v>1938.0</v>
      </c>
      <c r="G11" s="103">
        <v>43.0</v>
      </c>
      <c r="H11" s="103">
        <v>96.0</v>
      </c>
      <c r="I11" s="103">
        <v>11.0</v>
      </c>
      <c r="J11" s="103">
        <v>3357.0</v>
      </c>
      <c r="K11" s="103">
        <v>0.0</v>
      </c>
      <c r="L11" s="103">
        <v>0.0</v>
      </c>
      <c r="M11" s="103">
        <v>2.0</v>
      </c>
      <c r="N11" s="19"/>
      <c r="O11" s="19"/>
      <c r="P11" s="19">
        <f t="shared" si="1"/>
        <v>5447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03">
        <v>10.0</v>
      </c>
      <c r="B12" s="114" t="s">
        <v>42</v>
      </c>
      <c r="C12" s="113" t="s">
        <v>44</v>
      </c>
      <c r="D12" s="103">
        <v>0.0</v>
      </c>
      <c r="E12" s="103">
        <v>0.0</v>
      </c>
      <c r="F12" s="103">
        <v>0.0</v>
      </c>
      <c r="G12" s="103">
        <v>0.0</v>
      </c>
      <c r="H12" s="103">
        <v>0.0</v>
      </c>
      <c r="I12" s="103">
        <v>5.0</v>
      </c>
      <c r="J12" s="103">
        <v>0.0</v>
      </c>
      <c r="K12" s="103">
        <v>57.0</v>
      </c>
      <c r="L12" s="103">
        <v>0.0</v>
      </c>
      <c r="M12" s="103">
        <v>0.0</v>
      </c>
      <c r="N12" s="19"/>
      <c r="O12" s="19"/>
      <c r="P12" s="19">
        <f t="shared" si="1"/>
        <v>62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03">
        <v>11.0</v>
      </c>
      <c r="B13" s="114" t="s">
        <v>45</v>
      </c>
      <c r="C13" s="113" t="s">
        <v>46</v>
      </c>
      <c r="D13" s="103">
        <v>0.0</v>
      </c>
      <c r="E13" s="103">
        <v>0.0</v>
      </c>
      <c r="F13" s="103">
        <v>47.0</v>
      </c>
      <c r="G13" s="103">
        <v>5.0</v>
      </c>
      <c r="H13" s="103">
        <v>36.0</v>
      </c>
      <c r="I13" s="103">
        <v>0.0</v>
      </c>
      <c r="J13" s="103">
        <v>20.0</v>
      </c>
      <c r="K13" s="103">
        <v>0.0</v>
      </c>
      <c r="L13" s="103">
        <v>0.0</v>
      </c>
      <c r="M13" s="103">
        <v>0.0</v>
      </c>
      <c r="N13" s="19"/>
      <c r="O13" s="19"/>
      <c r="P13" s="19">
        <f t="shared" si="1"/>
        <v>108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03">
        <v>12.0</v>
      </c>
      <c r="B14" s="114" t="s">
        <v>47</v>
      </c>
      <c r="C14" s="113" t="s">
        <v>48</v>
      </c>
      <c r="D14" s="103">
        <v>0.0</v>
      </c>
      <c r="E14" s="103">
        <v>22.0</v>
      </c>
      <c r="F14" s="103">
        <v>15.0</v>
      </c>
      <c r="G14" s="103">
        <v>38.0</v>
      </c>
      <c r="H14" s="103">
        <v>30.0</v>
      </c>
      <c r="I14" s="103">
        <v>12.0</v>
      </c>
      <c r="J14" s="103">
        <v>36.0</v>
      </c>
      <c r="K14" s="103">
        <v>1.0</v>
      </c>
      <c r="L14" s="103">
        <v>0.0</v>
      </c>
      <c r="M14" s="103">
        <v>7.0</v>
      </c>
      <c r="N14" s="19"/>
      <c r="O14" s="19"/>
      <c r="P14" s="19">
        <f t="shared" si="1"/>
        <v>161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03">
        <v>13.0</v>
      </c>
      <c r="B15" s="114" t="s">
        <v>47</v>
      </c>
      <c r="C15" s="113" t="s">
        <v>49</v>
      </c>
      <c r="D15" s="103">
        <v>0.0</v>
      </c>
      <c r="E15" s="103">
        <v>6.0</v>
      </c>
      <c r="F15" s="103">
        <v>17.0</v>
      </c>
      <c r="G15" s="103">
        <v>349.0</v>
      </c>
      <c r="H15" s="103">
        <v>378.0</v>
      </c>
      <c r="I15" s="103">
        <v>2.0</v>
      </c>
      <c r="J15" s="103">
        <v>51.0</v>
      </c>
      <c r="K15" s="103">
        <v>0.0</v>
      </c>
      <c r="L15" s="103">
        <v>0.0</v>
      </c>
      <c r="M15" s="103">
        <v>4.0</v>
      </c>
      <c r="N15" s="19"/>
      <c r="O15" s="19"/>
      <c r="P15" s="19">
        <f t="shared" si="1"/>
        <v>807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03">
        <v>14.0</v>
      </c>
      <c r="B16" s="114" t="s">
        <v>47</v>
      </c>
      <c r="C16" s="113" t="s">
        <v>50</v>
      </c>
      <c r="D16" s="103">
        <v>0.0</v>
      </c>
      <c r="E16" s="103">
        <v>7.0</v>
      </c>
      <c r="F16" s="103">
        <v>9.0</v>
      </c>
      <c r="G16" s="103">
        <v>212.0</v>
      </c>
      <c r="H16" s="103">
        <v>30.0</v>
      </c>
      <c r="I16" s="103">
        <v>2.0</v>
      </c>
      <c r="J16" s="103">
        <v>32.0</v>
      </c>
      <c r="K16" s="103">
        <v>0.0</v>
      </c>
      <c r="L16" s="103">
        <v>0.0</v>
      </c>
      <c r="M16" s="103">
        <v>14.0</v>
      </c>
      <c r="N16" s="19"/>
      <c r="O16" s="19"/>
      <c r="P16" s="19">
        <f t="shared" si="1"/>
        <v>306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03">
        <v>15.0</v>
      </c>
      <c r="B17" s="114" t="s">
        <v>131</v>
      </c>
      <c r="C17" s="113" t="s">
        <v>52</v>
      </c>
      <c r="D17" s="103">
        <v>0.0</v>
      </c>
      <c r="E17" s="103">
        <v>7.0</v>
      </c>
      <c r="F17" s="103">
        <v>18.0</v>
      </c>
      <c r="G17" s="103">
        <v>132.0</v>
      </c>
      <c r="H17" s="103">
        <v>44.0</v>
      </c>
      <c r="I17" s="103">
        <v>3.0</v>
      </c>
      <c r="J17" s="103">
        <v>5.0</v>
      </c>
      <c r="K17" s="103">
        <v>0.0</v>
      </c>
      <c r="L17" s="103">
        <v>0.0</v>
      </c>
      <c r="M17" s="103">
        <v>5.0</v>
      </c>
      <c r="N17" s="19"/>
      <c r="O17" s="19"/>
      <c r="P17" s="19">
        <f t="shared" si="1"/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03">
        <v>16.0</v>
      </c>
      <c r="B18" s="115" t="s">
        <v>132</v>
      </c>
      <c r="C18" s="116" t="s">
        <v>55</v>
      </c>
      <c r="D18" s="103">
        <v>8506.0</v>
      </c>
      <c r="E18" s="103">
        <v>32883.0</v>
      </c>
      <c r="F18" s="103">
        <v>76590.0</v>
      </c>
      <c r="G18" s="103">
        <v>64720.0</v>
      </c>
      <c r="H18" s="103">
        <v>47580.0</v>
      </c>
      <c r="I18" s="103">
        <v>28650.0</v>
      </c>
      <c r="J18" s="103">
        <v>10435.0</v>
      </c>
      <c r="K18" s="103">
        <v>18913.0</v>
      </c>
      <c r="L18" s="103">
        <v>32452.0</v>
      </c>
      <c r="M18" s="103">
        <v>55399.0</v>
      </c>
      <c r="N18" s="19"/>
      <c r="O18" s="19"/>
      <c r="P18" s="19">
        <f t="shared" si="1"/>
        <v>376128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03">
        <v>17.0</v>
      </c>
      <c r="B19" s="114" t="s">
        <v>132</v>
      </c>
      <c r="C19" s="113" t="s">
        <v>57</v>
      </c>
      <c r="D19" s="103">
        <v>560.0</v>
      </c>
      <c r="E19" s="103">
        <v>51.0</v>
      </c>
      <c r="F19" s="103">
        <v>803.0</v>
      </c>
      <c r="G19" s="103">
        <v>600.0</v>
      </c>
      <c r="H19" s="103">
        <v>847.0</v>
      </c>
      <c r="I19" s="103">
        <v>330.0</v>
      </c>
      <c r="J19" s="103">
        <v>51.0</v>
      </c>
      <c r="K19" s="103">
        <v>3.0</v>
      </c>
      <c r="L19" s="103">
        <v>329.0</v>
      </c>
      <c r="M19" s="103">
        <v>853.0</v>
      </c>
      <c r="N19" s="19"/>
      <c r="O19" s="19"/>
      <c r="P19" s="19">
        <f t="shared" si="1"/>
        <v>4427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03">
        <v>18.0</v>
      </c>
      <c r="B20" s="114" t="s">
        <v>133</v>
      </c>
      <c r="C20" s="113" t="s">
        <v>60</v>
      </c>
      <c r="D20" s="103">
        <v>1.0</v>
      </c>
      <c r="E20" s="103">
        <v>401.0</v>
      </c>
      <c r="F20" s="103">
        <v>93.0</v>
      </c>
      <c r="G20" s="103">
        <v>619.0</v>
      </c>
      <c r="H20" s="103">
        <v>66.0</v>
      </c>
      <c r="I20" s="103">
        <v>0.0</v>
      </c>
      <c r="J20" s="103">
        <v>0.0</v>
      </c>
      <c r="K20" s="103">
        <v>0.0</v>
      </c>
      <c r="L20" s="103">
        <v>0.0</v>
      </c>
      <c r="M20" s="103">
        <v>5.0</v>
      </c>
      <c r="N20" s="19"/>
      <c r="O20" s="19"/>
      <c r="P20" s="19">
        <f t="shared" si="1"/>
        <v>1185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03">
        <v>19.0</v>
      </c>
      <c r="B21" s="114" t="s">
        <v>133</v>
      </c>
      <c r="C21" s="113" t="s">
        <v>62</v>
      </c>
      <c r="D21" s="103">
        <v>0.0</v>
      </c>
      <c r="E21" s="103">
        <v>0.0</v>
      </c>
      <c r="F21" s="103">
        <v>5.0</v>
      </c>
      <c r="G21" s="103">
        <v>0.0</v>
      </c>
      <c r="H21" s="103">
        <v>1.0</v>
      </c>
      <c r="I21" s="103">
        <v>0.0</v>
      </c>
      <c r="J21" s="103">
        <v>0.0</v>
      </c>
      <c r="K21" s="103">
        <v>5.0</v>
      </c>
      <c r="L21" s="103">
        <v>7.0</v>
      </c>
      <c r="M21" s="103">
        <v>6.0</v>
      </c>
      <c r="N21" s="19"/>
      <c r="O21" s="19"/>
      <c r="P21" s="19">
        <f t="shared" si="1"/>
        <v>24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03">
        <v>20.0</v>
      </c>
      <c r="B22" s="114" t="s">
        <v>65</v>
      </c>
      <c r="C22" s="113" t="s">
        <v>66</v>
      </c>
      <c r="D22" s="103">
        <v>3.0</v>
      </c>
      <c r="E22" s="103">
        <v>20.0</v>
      </c>
      <c r="F22" s="103">
        <v>23.0</v>
      </c>
      <c r="G22" s="103">
        <v>39.0</v>
      </c>
      <c r="H22" s="103">
        <v>6.0</v>
      </c>
      <c r="I22" s="103">
        <v>26.0</v>
      </c>
      <c r="J22" s="103">
        <v>148.0</v>
      </c>
      <c r="K22" s="103">
        <v>2.0</v>
      </c>
      <c r="L22" s="103">
        <v>100.0</v>
      </c>
      <c r="M22" s="103">
        <v>20.0</v>
      </c>
      <c r="N22" s="19"/>
      <c r="O22" s="19"/>
      <c r="P22" s="19">
        <f t="shared" si="1"/>
        <v>387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03">
        <v>21.0</v>
      </c>
      <c r="B23" s="114" t="s">
        <v>65</v>
      </c>
      <c r="C23" s="113" t="s">
        <v>68</v>
      </c>
      <c r="D23" s="103">
        <v>0.0</v>
      </c>
      <c r="E23" s="103">
        <v>0.0</v>
      </c>
      <c r="F23" s="103">
        <v>1.0</v>
      </c>
      <c r="G23" s="103">
        <v>62.0</v>
      </c>
      <c r="H23" s="103">
        <v>25.0</v>
      </c>
      <c r="I23" s="103">
        <v>2.0</v>
      </c>
      <c r="J23" s="103">
        <v>0.0</v>
      </c>
      <c r="K23" s="103">
        <v>0.0</v>
      </c>
      <c r="L23" s="103">
        <v>0.0</v>
      </c>
      <c r="M23" s="103">
        <v>20.0</v>
      </c>
      <c r="N23" s="19"/>
      <c r="O23" s="19"/>
      <c r="P23" s="19">
        <f t="shared" si="1"/>
        <v>110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03">
        <v>22.0</v>
      </c>
      <c r="B24" s="114" t="s">
        <v>70</v>
      </c>
      <c r="C24" s="113" t="s">
        <v>71</v>
      </c>
      <c r="D24" s="103">
        <v>1.0</v>
      </c>
      <c r="E24" s="103">
        <v>10.0</v>
      </c>
      <c r="F24" s="103">
        <v>33.0</v>
      </c>
      <c r="G24" s="103">
        <v>528.0</v>
      </c>
      <c r="H24" s="103">
        <v>81.0</v>
      </c>
      <c r="I24" s="103">
        <v>5.0</v>
      </c>
      <c r="J24" s="103">
        <v>25.0</v>
      </c>
      <c r="K24" s="103">
        <v>1.0</v>
      </c>
      <c r="L24" s="103">
        <v>0.0</v>
      </c>
      <c r="M24" s="103">
        <v>11.0</v>
      </c>
      <c r="N24" s="19"/>
      <c r="O24" s="19"/>
      <c r="P24" s="19">
        <f t="shared" si="1"/>
        <v>695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03">
        <v>23.0</v>
      </c>
      <c r="B25" s="114" t="s">
        <v>70</v>
      </c>
      <c r="C25" s="113" t="s">
        <v>73</v>
      </c>
      <c r="D25" s="103">
        <v>0.0</v>
      </c>
      <c r="E25" s="103">
        <v>0.0</v>
      </c>
      <c r="F25" s="103">
        <v>12.0</v>
      </c>
      <c r="G25" s="103">
        <v>3.0</v>
      </c>
      <c r="H25" s="103">
        <v>0.0</v>
      </c>
      <c r="I25" s="103">
        <v>0.0</v>
      </c>
      <c r="J25" s="103">
        <v>0.0</v>
      </c>
      <c r="K25" s="103">
        <v>0.0</v>
      </c>
      <c r="L25" s="103">
        <v>0.0</v>
      </c>
      <c r="M25" s="103">
        <v>0.0</v>
      </c>
      <c r="N25" s="19"/>
      <c r="O25" s="19"/>
      <c r="P25" s="19">
        <f t="shared" si="1"/>
        <v>15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03">
        <v>24.0</v>
      </c>
      <c r="B26" s="114" t="s">
        <v>74</v>
      </c>
      <c r="C26" s="113" t="s">
        <v>60</v>
      </c>
      <c r="D26" s="103">
        <v>0.0</v>
      </c>
      <c r="E26" s="103">
        <v>204.0</v>
      </c>
      <c r="F26" s="103">
        <v>53.0</v>
      </c>
      <c r="G26" s="103">
        <v>4744.0</v>
      </c>
      <c r="H26" s="103">
        <v>1507.0</v>
      </c>
      <c r="I26" s="103">
        <v>0.0</v>
      </c>
      <c r="J26" s="103">
        <v>0.0</v>
      </c>
      <c r="K26" s="103">
        <v>0.0</v>
      </c>
      <c r="L26" s="103">
        <v>0.0</v>
      </c>
      <c r="M26" s="103">
        <v>3.0</v>
      </c>
      <c r="N26" s="19"/>
      <c r="O26" s="19"/>
      <c r="P26" s="19">
        <f t="shared" si="1"/>
        <v>6511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03">
        <v>25.0</v>
      </c>
      <c r="B27" s="114" t="s">
        <v>74</v>
      </c>
      <c r="C27" s="113" t="s">
        <v>76</v>
      </c>
      <c r="D27" s="103">
        <v>0.0</v>
      </c>
      <c r="E27" s="103">
        <v>4.0</v>
      </c>
      <c r="F27" s="103">
        <v>12.0</v>
      </c>
      <c r="G27" s="103">
        <v>5.0</v>
      </c>
      <c r="H27" s="103">
        <v>126.0</v>
      </c>
      <c r="I27" s="103">
        <v>0.0</v>
      </c>
      <c r="J27" s="103">
        <v>0.0</v>
      </c>
      <c r="K27" s="103">
        <v>0.0</v>
      </c>
      <c r="L27" s="103">
        <v>0.0</v>
      </c>
      <c r="M27" s="103">
        <v>252.0</v>
      </c>
      <c r="N27" s="19"/>
      <c r="O27" s="19"/>
      <c r="P27" s="19">
        <f t="shared" si="1"/>
        <v>399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03">
        <v>26.0</v>
      </c>
      <c r="B28" s="114" t="s">
        <v>77</v>
      </c>
      <c r="C28" s="113" t="s">
        <v>78</v>
      </c>
      <c r="D28" s="103">
        <v>550.0</v>
      </c>
      <c r="E28" s="103">
        <v>0.0</v>
      </c>
      <c r="F28" s="103">
        <v>0.0</v>
      </c>
      <c r="G28" s="103">
        <v>37.0</v>
      </c>
      <c r="H28" s="103">
        <v>20.0</v>
      </c>
      <c r="I28" s="103">
        <v>0.0</v>
      </c>
      <c r="J28" s="103">
        <v>0.0</v>
      </c>
      <c r="K28" s="103">
        <v>0.0</v>
      </c>
      <c r="L28" s="103">
        <v>0.0</v>
      </c>
      <c r="M28" s="103">
        <v>0.0</v>
      </c>
      <c r="N28" s="19"/>
      <c r="O28" s="19"/>
      <c r="P28" s="19">
        <f t="shared" si="1"/>
        <v>607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03">
        <v>27.0</v>
      </c>
      <c r="B29" s="114" t="s">
        <v>80</v>
      </c>
      <c r="C29" s="113" t="s">
        <v>81</v>
      </c>
      <c r="D29" s="103">
        <v>31.0</v>
      </c>
      <c r="E29" s="103">
        <v>850.0</v>
      </c>
      <c r="F29" s="103">
        <v>377.0</v>
      </c>
      <c r="G29" s="103">
        <v>1744.0</v>
      </c>
      <c r="H29" s="103">
        <v>799.0</v>
      </c>
      <c r="I29" s="103">
        <v>0.0</v>
      </c>
      <c r="J29" s="103">
        <v>9.0</v>
      </c>
      <c r="K29" s="103">
        <v>0.0</v>
      </c>
      <c r="L29" s="103">
        <v>0.0</v>
      </c>
      <c r="M29" s="103">
        <v>9.0</v>
      </c>
      <c r="N29" s="19"/>
      <c r="O29" s="19"/>
      <c r="P29" s="19">
        <f t="shared" si="1"/>
        <v>3819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03">
        <v>28.0</v>
      </c>
      <c r="B30" s="114" t="s">
        <v>80</v>
      </c>
      <c r="C30" s="113" t="s">
        <v>83</v>
      </c>
      <c r="D30" s="103">
        <v>0.0</v>
      </c>
      <c r="E30" s="103">
        <v>4.0</v>
      </c>
      <c r="F30" s="103">
        <v>0.0</v>
      </c>
      <c r="G30" s="103">
        <v>29.0</v>
      </c>
      <c r="H30" s="103">
        <v>14.0</v>
      </c>
      <c r="I30" s="103">
        <v>30.0</v>
      </c>
      <c r="J30" s="103">
        <v>0.0</v>
      </c>
      <c r="K30" s="103">
        <v>0.0</v>
      </c>
      <c r="L30" s="103">
        <v>0.0</v>
      </c>
      <c r="M30" s="103">
        <v>0.0</v>
      </c>
      <c r="N30" s="19"/>
      <c r="O30" s="19"/>
      <c r="P30" s="19">
        <f t="shared" si="1"/>
        <v>77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03">
        <v>29.0</v>
      </c>
      <c r="B31" s="114" t="s">
        <v>80</v>
      </c>
      <c r="C31" s="113" t="s">
        <v>85</v>
      </c>
      <c r="D31" s="103">
        <v>0.0</v>
      </c>
      <c r="E31" s="103">
        <v>4.0</v>
      </c>
      <c r="F31" s="103">
        <v>0.0</v>
      </c>
      <c r="G31" s="103">
        <v>13.0</v>
      </c>
      <c r="H31" s="103">
        <v>0.0</v>
      </c>
      <c r="I31" s="103">
        <v>23.0</v>
      </c>
      <c r="J31" s="103">
        <v>0.0</v>
      </c>
      <c r="K31" s="103">
        <v>0.0</v>
      </c>
      <c r="L31" s="103">
        <v>2.0</v>
      </c>
      <c r="M31" s="103">
        <v>0.0</v>
      </c>
      <c r="N31" s="19"/>
      <c r="O31" s="19"/>
      <c r="P31" s="19">
        <f t="shared" si="1"/>
        <v>42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03">
        <v>30.0</v>
      </c>
      <c r="B32" s="114" t="s">
        <v>86</v>
      </c>
      <c r="C32" s="113" t="s">
        <v>87</v>
      </c>
      <c r="D32" s="103">
        <v>0.0</v>
      </c>
      <c r="E32" s="103">
        <v>44.0</v>
      </c>
      <c r="F32" s="103">
        <v>0.0</v>
      </c>
      <c r="G32" s="103">
        <v>16.0</v>
      </c>
      <c r="H32" s="103">
        <v>0.0</v>
      </c>
      <c r="I32" s="103">
        <v>0.0</v>
      </c>
      <c r="J32" s="103">
        <v>0.0</v>
      </c>
      <c r="K32" s="103">
        <v>0.0</v>
      </c>
      <c r="L32" s="103">
        <v>3.0</v>
      </c>
      <c r="M32" s="103">
        <v>2.0</v>
      </c>
      <c r="N32" s="19"/>
      <c r="O32" s="19"/>
      <c r="P32" s="19">
        <f t="shared" si="1"/>
        <v>65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03">
        <v>31.0</v>
      </c>
      <c r="B33" s="114" t="s">
        <v>86</v>
      </c>
      <c r="C33" s="113" t="s">
        <v>88</v>
      </c>
      <c r="D33" s="103">
        <v>0.0</v>
      </c>
      <c r="E33" s="103">
        <v>0.0</v>
      </c>
      <c r="F33" s="103">
        <v>155.0</v>
      </c>
      <c r="G33" s="103">
        <v>7.0</v>
      </c>
      <c r="H33" s="103">
        <v>5.0</v>
      </c>
      <c r="I33" s="103">
        <v>23.0</v>
      </c>
      <c r="J33" s="103">
        <v>73.0</v>
      </c>
      <c r="K33" s="103">
        <v>0.0</v>
      </c>
      <c r="L33" s="103">
        <v>0.0</v>
      </c>
      <c r="M33" s="103">
        <v>50.0</v>
      </c>
      <c r="N33" s="19"/>
      <c r="O33" s="19"/>
      <c r="P33" s="19">
        <f t="shared" si="1"/>
        <v>313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03">
        <v>32.0</v>
      </c>
      <c r="B34" s="114" t="s">
        <v>86</v>
      </c>
      <c r="C34" s="113" t="s">
        <v>89</v>
      </c>
      <c r="D34" s="103">
        <v>0.0</v>
      </c>
      <c r="E34" s="103">
        <v>46.0</v>
      </c>
      <c r="F34" s="103">
        <v>102.0</v>
      </c>
      <c r="G34" s="103">
        <v>76.0</v>
      </c>
      <c r="H34" s="103">
        <v>4.0</v>
      </c>
      <c r="I34" s="103">
        <v>26.0</v>
      </c>
      <c r="J34" s="103">
        <v>2.0</v>
      </c>
      <c r="K34" s="103">
        <v>0.0</v>
      </c>
      <c r="L34" s="103">
        <v>5.0</v>
      </c>
      <c r="M34" s="103">
        <v>30.0</v>
      </c>
      <c r="N34" s="19"/>
      <c r="O34" s="19"/>
      <c r="P34" s="19">
        <f t="shared" si="1"/>
        <v>291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03">
        <v>33.0</v>
      </c>
      <c r="B35" s="114" t="s">
        <v>86</v>
      </c>
      <c r="C35" s="113" t="s">
        <v>90</v>
      </c>
      <c r="D35" s="103">
        <v>0.0</v>
      </c>
      <c r="E35" s="103">
        <v>81.0</v>
      </c>
      <c r="F35" s="103">
        <v>13.0</v>
      </c>
      <c r="G35" s="103">
        <v>7.0</v>
      </c>
      <c r="H35" s="103">
        <v>8.0</v>
      </c>
      <c r="I35" s="103">
        <v>0.0</v>
      </c>
      <c r="J35" s="103">
        <v>0.0</v>
      </c>
      <c r="K35" s="103">
        <v>1.0</v>
      </c>
      <c r="L35" s="103">
        <v>0.0</v>
      </c>
      <c r="M35" s="103">
        <v>260.0</v>
      </c>
      <c r="N35" s="19"/>
      <c r="O35" s="19"/>
      <c r="P35" s="19">
        <f t="shared" si="1"/>
        <v>370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03">
        <v>34.0</v>
      </c>
      <c r="B36" s="114" t="s">
        <v>86</v>
      </c>
      <c r="C36" s="113" t="s">
        <v>91</v>
      </c>
      <c r="D36" s="103">
        <v>0.0</v>
      </c>
      <c r="E36" s="103">
        <v>0.0</v>
      </c>
      <c r="F36" s="103">
        <v>0.0</v>
      </c>
      <c r="G36" s="103">
        <v>0.0</v>
      </c>
      <c r="H36" s="103">
        <v>0.0</v>
      </c>
      <c r="I36" s="103">
        <v>0.0</v>
      </c>
      <c r="J36" s="103">
        <v>20.0</v>
      </c>
      <c r="K36" s="103">
        <v>1.0</v>
      </c>
      <c r="L36" s="103">
        <v>0.0</v>
      </c>
      <c r="M36" s="103">
        <v>2.0</v>
      </c>
      <c r="N36" s="19"/>
      <c r="O36" s="19"/>
      <c r="P36" s="19">
        <f t="shared" si="1"/>
        <v>23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03">
        <v>35.0</v>
      </c>
      <c r="B37" s="114" t="s">
        <v>92</v>
      </c>
      <c r="C37" s="113" t="s">
        <v>93</v>
      </c>
      <c r="D37" s="103">
        <v>0.0</v>
      </c>
      <c r="E37" s="103">
        <v>0.0</v>
      </c>
      <c r="F37" s="103">
        <v>0.0</v>
      </c>
      <c r="G37" s="103">
        <v>21.0</v>
      </c>
      <c r="H37" s="103">
        <v>27.0</v>
      </c>
      <c r="I37" s="103">
        <v>0.0</v>
      </c>
      <c r="J37" s="103">
        <v>0.0</v>
      </c>
      <c r="K37" s="103">
        <v>0.0</v>
      </c>
      <c r="L37" s="103">
        <v>0.0</v>
      </c>
      <c r="M37" s="103">
        <v>10.0</v>
      </c>
      <c r="N37" s="19"/>
      <c r="O37" s="19"/>
      <c r="P37" s="19">
        <f t="shared" si="1"/>
        <v>58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03">
        <v>36.0</v>
      </c>
      <c r="B38" s="114" t="s">
        <v>92</v>
      </c>
      <c r="C38" s="113" t="s">
        <v>95</v>
      </c>
      <c r="D38" s="103">
        <v>511.0</v>
      </c>
      <c r="E38" s="103">
        <v>110.0</v>
      </c>
      <c r="F38" s="103">
        <v>337.0</v>
      </c>
      <c r="G38" s="103">
        <v>2503.0</v>
      </c>
      <c r="H38" s="103">
        <v>457.0</v>
      </c>
      <c r="I38" s="103">
        <v>28.0</v>
      </c>
      <c r="J38" s="103">
        <v>5.0</v>
      </c>
      <c r="K38" s="103">
        <v>7.0</v>
      </c>
      <c r="L38" s="103">
        <v>60.0</v>
      </c>
      <c r="M38" s="103">
        <v>465.0</v>
      </c>
      <c r="N38" s="19"/>
      <c r="O38" s="19"/>
      <c r="P38" s="19">
        <f t="shared" si="1"/>
        <v>4483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03">
        <v>37.0</v>
      </c>
      <c r="B39" s="114" t="s">
        <v>97</v>
      </c>
      <c r="C39" s="113" t="s">
        <v>98</v>
      </c>
      <c r="D39" s="103">
        <v>0.0</v>
      </c>
      <c r="E39" s="103">
        <v>0.0</v>
      </c>
      <c r="F39" s="103">
        <v>37.0</v>
      </c>
      <c r="G39" s="103">
        <v>410.0</v>
      </c>
      <c r="H39" s="103">
        <v>150.0</v>
      </c>
      <c r="I39" s="103">
        <v>0.0</v>
      </c>
      <c r="J39" s="103">
        <v>0.0</v>
      </c>
      <c r="K39" s="103">
        <v>0.0</v>
      </c>
      <c r="L39" s="103">
        <v>0.0</v>
      </c>
      <c r="M39" s="103">
        <v>5.0</v>
      </c>
      <c r="N39" s="19"/>
      <c r="O39" s="19"/>
      <c r="P39" s="19">
        <f t="shared" si="1"/>
        <v>602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03">
        <v>38.0</v>
      </c>
      <c r="B40" s="114" t="s">
        <v>99</v>
      </c>
      <c r="C40" s="113" t="s">
        <v>100</v>
      </c>
      <c r="D40" s="103">
        <v>0.0</v>
      </c>
      <c r="E40" s="103">
        <v>0.0</v>
      </c>
      <c r="F40" s="103">
        <v>2.0</v>
      </c>
      <c r="G40" s="103">
        <v>0.0</v>
      </c>
      <c r="H40" s="103">
        <v>0.0</v>
      </c>
      <c r="I40" s="103">
        <v>0.0</v>
      </c>
      <c r="J40" s="103">
        <v>21.0</v>
      </c>
      <c r="K40" s="103">
        <v>0.0</v>
      </c>
      <c r="L40" s="103">
        <v>0.0</v>
      </c>
      <c r="M40" s="103">
        <v>0.0</v>
      </c>
      <c r="N40" s="19"/>
      <c r="O40" s="19"/>
      <c r="P40" s="19">
        <f t="shared" si="1"/>
        <v>23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03">
        <v>39.0</v>
      </c>
      <c r="B41" s="114" t="s">
        <v>99</v>
      </c>
      <c r="C41" s="113" t="s">
        <v>101</v>
      </c>
      <c r="D41" s="103">
        <v>1.0</v>
      </c>
      <c r="E41" s="103">
        <v>7.0</v>
      </c>
      <c r="F41" s="103">
        <v>45.0</v>
      </c>
      <c r="G41" s="103">
        <v>30.0</v>
      </c>
      <c r="H41" s="103">
        <v>47.0</v>
      </c>
      <c r="I41" s="103">
        <v>10.0</v>
      </c>
      <c r="J41" s="103">
        <v>11.0</v>
      </c>
      <c r="K41" s="103">
        <v>0.0</v>
      </c>
      <c r="L41" s="103">
        <v>0.0</v>
      </c>
      <c r="M41" s="103">
        <v>4.0</v>
      </c>
      <c r="N41" s="19"/>
      <c r="O41" s="19"/>
      <c r="P41" s="19">
        <f t="shared" si="1"/>
        <v>155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03">
        <v>40.0</v>
      </c>
      <c r="B42" s="114" t="s">
        <v>103</v>
      </c>
      <c r="C42" s="113" t="s">
        <v>104</v>
      </c>
      <c r="D42" s="103">
        <v>519.0</v>
      </c>
      <c r="E42" s="103">
        <v>3601.0</v>
      </c>
      <c r="F42" s="103">
        <v>10250.0</v>
      </c>
      <c r="G42" s="103">
        <v>3321.0</v>
      </c>
      <c r="H42" s="103">
        <v>5316.0</v>
      </c>
      <c r="I42" s="103">
        <v>12603.0</v>
      </c>
      <c r="J42" s="103">
        <v>1698.0</v>
      </c>
      <c r="K42" s="103">
        <v>92.0</v>
      </c>
      <c r="L42" s="103">
        <v>513.0</v>
      </c>
      <c r="M42" s="103">
        <v>10.0</v>
      </c>
      <c r="N42" s="19"/>
      <c r="O42" s="19"/>
      <c r="P42" s="19">
        <f t="shared" si="1"/>
        <v>37923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03">
        <v>41.0</v>
      </c>
      <c r="B43" s="114" t="s">
        <v>103</v>
      </c>
      <c r="C43" s="113" t="s">
        <v>107</v>
      </c>
      <c r="D43" s="103">
        <v>5.0</v>
      </c>
      <c r="E43" s="103">
        <v>0.0</v>
      </c>
      <c r="F43" s="103">
        <v>112.0</v>
      </c>
      <c r="G43" s="103">
        <v>1774.0</v>
      </c>
      <c r="H43" s="103">
        <v>320.0</v>
      </c>
      <c r="I43" s="103">
        <v>145.0</v>
      </c>
      <c r="J43" s="103">
        <v>265.0</v>
      </c>
      <c r="K43" s="103">
        <v>10.0</v>
      </c>
      <c r="L43" s="103">
        <v>0.0</v>
      </c>
      <c r="M43" s="103">
        <v>5.0</v>
      </c>
      <c r="N43" s="19"/>
      <c r="O43" s="19"/>
      <c r="P43" s="19">
        <f t="shared" si="1"/>
        <v>2636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03">
        <v>42.0</v>
      </c>
      <c r="B44" s="114" t="s">
        <v>109</v>
      </c>
      <c r="C44" s="113" t="s">
        <v>110</v>
      </c>
      <c r="D44" s="103">
        <v>1.0</v>
      </c>
      <c r="E44" s="103">
        <v>2.0</v>
      </c>
      <c r="F44" s="103">
        <v>47.0</v>
      </c>
      <c r="G44" s="103">
        <v>0.0</v>
      </c>
      <c r="H44" s="103">
        <v>24.0</v>
      </c>
      <c r="I44" s="103">
        <v>0.0</v>
      </c>
      <c r="J44" s="103">
        <v>0.0</v>
      </c>
      <c r="K44" s="103">
        <v>4.0</v>
      </c>
      <c r="L44" s="103">
        <v>0.0</v>
      </c>
      <c r="M44" s="103">
        <v>0.0</v>
      </c>
      <c r="N44" s="19"/>
      <c r="O44" s="19"/>
      <c r="P44" s="19">
        <f t="shared" si="1"/>
        <v>78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10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10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10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10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10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10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10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10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10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10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10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10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10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10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10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10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10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10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10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10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10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10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10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10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10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10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10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10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10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10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10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10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10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10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10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10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10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10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10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10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10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10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10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10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10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10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10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10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10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10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10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10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10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10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10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10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10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10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10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10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10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10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10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10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10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10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10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10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10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10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10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10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10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10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10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10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10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10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10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10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10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10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10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10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10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10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10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10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10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10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10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10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10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10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10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10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10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10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10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10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10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10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10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10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10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10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10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10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10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10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10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10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10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10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10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10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10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10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10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10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10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10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10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10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10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10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10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10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10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10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10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10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10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10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10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10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10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10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10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10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10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10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10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10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10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10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10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10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10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10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10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10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10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10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10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10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10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10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10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10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10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10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10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10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10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10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10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10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10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10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10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10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10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10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10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10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10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10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10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10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10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10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10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10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10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10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10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10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10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10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10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10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10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10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10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10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10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10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10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10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10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10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10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10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10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10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10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10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10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10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10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10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10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10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10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10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10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10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10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10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10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10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10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10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10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10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10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10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10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10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10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10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10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10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10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10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10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10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10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10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10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10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10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10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10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10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10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10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10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10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10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10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10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10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10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10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10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10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10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10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10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10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10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10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10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10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10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10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10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10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10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10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10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10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10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10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10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10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10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10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10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10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10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10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10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10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10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10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10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10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10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10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10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10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10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10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10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10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10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10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10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10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10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10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10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10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10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10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10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10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10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10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10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10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10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10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10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10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10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10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10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10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10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10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10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10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10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10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10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10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10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10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10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10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10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10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10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10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10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10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10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10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10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10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10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10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10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10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10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10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10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10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10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10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10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10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10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10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10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10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10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10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10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1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10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10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10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10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10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10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10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10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10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10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10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10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10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10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10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10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10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10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10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10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10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10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10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10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10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10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10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10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10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10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10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10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10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10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10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10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10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10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10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10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10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10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10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10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10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10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10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10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10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10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10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10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10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10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10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10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10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10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10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10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10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10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10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10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10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10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10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10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10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10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10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10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10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10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10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10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10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10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10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10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10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10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10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10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10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10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10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10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10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10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10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10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10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10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10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10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10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10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10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1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10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10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10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10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10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10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10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10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10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10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10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10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10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10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10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10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10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10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10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10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10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10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10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10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10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10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10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10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10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10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10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10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10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10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10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10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10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10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10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10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10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10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10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10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10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10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10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10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10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10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10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10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10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10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10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10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10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10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10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10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10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10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10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10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10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10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10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10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10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10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10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10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10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10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10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10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10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10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10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10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10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10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10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10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10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10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10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10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10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10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10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10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10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10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10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10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10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10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10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10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10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10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10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10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10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10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10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10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10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10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10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10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10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10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10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10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10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10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10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10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10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10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10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10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10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10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10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10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10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10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10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10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10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10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10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10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10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10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10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10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10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10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10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10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10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10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10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10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10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10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10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10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10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10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10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10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10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10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10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10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10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10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10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10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10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10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10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10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10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10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10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10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10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10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10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10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10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10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10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10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10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10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10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10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10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10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10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10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10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10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10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10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10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10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10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10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10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10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10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10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10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10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10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10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10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10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10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10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10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10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10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10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10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10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10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10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10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10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10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10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10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10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10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10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10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10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10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10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10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10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10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10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10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10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10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10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10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10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10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10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10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10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10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10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10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10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10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10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10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10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10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10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10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10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10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10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10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10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10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10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10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10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10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10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10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10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10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10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10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10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10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10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10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10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10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10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10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10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10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10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10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10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10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10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10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10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10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10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10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10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10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10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10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10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10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10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10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10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10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10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10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10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10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10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10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10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10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10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10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10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10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10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10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10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10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10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10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10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10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10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10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10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10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10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10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10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10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10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10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10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10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10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10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10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10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10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10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10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10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10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10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10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10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10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10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10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10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10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10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10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10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10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10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10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10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10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10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10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10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10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10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10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10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10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10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10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10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10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10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10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10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10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10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10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10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10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10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10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10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10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10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10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10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10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10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10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10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10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10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10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10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10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10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10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10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10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10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10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10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10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10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10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10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10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10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10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10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10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10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10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10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10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10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10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10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10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10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10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10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10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10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10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10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10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10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10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10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10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10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10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10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10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10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10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10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10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10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10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10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10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10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10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10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10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10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10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10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10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10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10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10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10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10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10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10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10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10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10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10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10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10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10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10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10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10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10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10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10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10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10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10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10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10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10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10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10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10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10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10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10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10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10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10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10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10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10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10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10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10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10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10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10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:P1"/>
  </mergeCells>
  <hyperlinks>
    <hyperlink display="Almond" location="null!A1" ref="B3"/>
    <hyperlink display="Aonla" location="null!A1" ref="B4"/>
    <hyperlink display="Bael" location="null!A1" ref="B5"/>
    <hyperlink display="Bael" location="null!A1" ref="B6"/>
    <hyperlink display="Bael" location="null!A1" ref="B7"/>
    <hyperlink display="Bael" location="null!A1" ref="B8"/>
    <hyperlink display="Ber" location="null!A1" ref="B9"/>
    <hyperlink display="Curry Leaf " location="null!A1" ref="B10"/>
    <hyperlink display="Dragon Fruit" location="null!A1" ref="B11"/>
    <hyperlink display="Dragon Fruit" location="null!A1" ref="B12"/>
    <hyperlink display="Drum Stick" location="null!A1" ref="B13"/>
    <hyperlink display="Fig" location="null!A1" ref="B14"/>
    <hyperlink display="Fig" location="null!A1" ref="B15"/>
    <hyperlink display="Fig" location="null!A1" ref="B16"/>
    <hyperlink display="Grapefruit " location="null!A1" ref="B17"/>
    <hyperlink display="Guava " location="null!A1" ref="B19"/>
    <hyperlink display="Jackfruit " location="null!A1" ref="B20"/>
    <hyperlink display="Jackfruit " location="null!A1" ref="B21"/>
    <hyperlink display="Jamun" location="null!A1" ref="B22"/>
    <hyperlink display="Jamun" location="null!A1" ref="B23"/>
    <hyperlink display="Kamrakh" location="null!A1" ref="B24"/>
    <hyperlink display="Kamrakh" location="null!A1" ref="B25"/>
    <hyperlink display="Karonda" location="null!A1" ref="B26"/>
    <hyperlink display="Karonda" location="null!A1" ref="B27"/>
    <hyperlink display="Kinnow" location="null!A1" ref="B28"/>
    <hyperlink display="Lemon" location="null!A1" ref="B29"/>
    <hyperlink display="Lemon" location="null!A1" ref="B30"/>
    <hyperlink display="Lemon" location="null!A1" ref="B31"/>
    <hyperlink display="Lime" location="null!A1" ref="B32"/>
    <hyperlink display="Lime" location="null!A1" ref="B33"/>
    <hyperlink display="Lime" location="null!A1" ref="B34"/>
    <hyperlink display="Lime" location="null!A1" ref="B35"/>
    <hyperlink display="Lime" location="null!A1" ref="B36"/>
    <hyperlink display="Mosambi" location="null!A1" ref="B37"/>
    <hyperlink display="Mosambi" location="null!A1" ref="B38"/>
    <hyperlink display="Mulberry" location="null!A1" ref="B39"/>
    <hyperlink display="Pumello" location="null!A1" ref="B40"/>
    <hyperlink display="Pumello" location="null!A1" ref="B41"/>
    <hyperlink display="Sitaphal" location="null!A1" ref="B42"/>
    <hyperlink display="Sitaphal" location="null!A1" ref="B43"/>
    <hyperlink display="Wax Apple" location="null!A1" ref="B4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