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0" documentId="13_ncr:1_{6B3A3E7D-7502-4BD7-AA26-92C20B6F98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et Sale" sheetId="2" r:id="rId1"/>
    <sheet name="Collection" sheetId="8" r:id="rId2"/>
    <sheet name="NRV &amp; Profitability" sheetId="1" r:id="rId3"/>
    <sheet name="Forecast" sheetId="4" r:id="rId4"/>
    <sheet name="Unnati" sheetId="3" r:id="rId5"/>
    <sheet name="MDAs" sheetId="5" r:id="rId6"/>
    <sheet name="OFD" sheetId="9" r:id="rId7"/>
    <sheet name="Leadership" sheetId="10" r:id="rId8"/>
    <sheet name="Team KRA" sheetId="11" r:id="rId9"/>
  </sheets>
  <definedNames>
    <definedName name="_xlnm._FilterDatabase" localSheetId="7" hidden="1">MDAs!#REF!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5" l="1"/>
  <c r="E32" i="5"/>
  <c r="F32" i="5"/>
  <c r="G32" i="5"/>
  <c r="C32" i="5"/>
  <c r="C28" i="5"/>
  <c r="C29" i="5" s="1"/>
  <c r="C30" i="5" s="1"/>
  <c r="C31" i="5" s="1"/>
  <c r="AT13" i="4"/>
  <c r="AS13" i="4"/>
  <c r="AQ13" i="4"/>
  <c r="AP13" i="4"/>
  <c r="AU13" i="4"/>
  <c r="AR13" i="4"/>
  <c r="BA13" i="4"/>
  <c r="AX13" i="4"/>
  <c r="AZ13" i="4"/>
  <c r="AY13" i="4"/>
  <c r="AW13" i="4"/>
  <c r="AV13" i="4"/>
  <c r="BA12" i="4"/>
  <c r="BA11" i="4"/>
  <c r="BA10" i="4"/>
  <c r="BA9" i="4"/>
  <c r="BA8" i="4"/>
  <c r="BA7" i="4"/>
  <c r="BA6" i="4"/>
  <c r="BA5" i="4"/>
  <c r="BA4" i="4"/>
  <c r="AX12" i="4"/>
  <c r="AX11" i="4"/>
  <c r="AX10" i="4"/>
  <c r="AX9" i="4"/>
  <c r="AX8" i="4"/>
  <c r="AX7" i="4"/>
  <c r="AX6" i="4"/>
  <c r="AX5" i="4"/>
  <c r="AX4" i="4"/>
  <c r="AY5" i="4"/>
  <c r="AZ5" i="4"/>
  <c r="AY6" i="4"/>
  <c r="AZ6" i="4"/>
  <c r="AY7" i="4"/>
  <c r="AZ7" i="4"/>
  <c r="AY8" i="4"/>
  <c r="AZ8" i="4"/>
  <c r="AY9" i="4"/>
  <c r="AZ9" i="4"/>
  <c r="AY10" i="4"/>
  <c r="AZ10" i="4"/>
  <c r="AY11" i="4"/>
  <c r="AZ11" i="4"/>
  <c r="AY12" i="4"/>
  <c r="AZ12" i="4"/>
  <c r="AV5" i="4"/>
  <c r="AW5" i="4"/>
  <c r="AV6" i="4"/>
  <c r="AW6" i="4"/>
  <c r="AV7" i="4"/>
  <c r="AW7" i="4"/>
  <c r="AV8" i="4"/>
  <c r="AW8" i="4"/>
  <c r="AV9" i="4"/>
  <c r="AW9" i="4"/>
  <c r="AV10" i="4"/>
  <c r="AW10" i="4"/>
  <c r="AV11" i="4"/>
  <c r="AW11" i="4"/>
  <c r="AV12" i="4"/>
  <c r="AW12" i="4"/>
  <c r="AZ4" i="4"/>
  <c r="AY4" i="4"/>
  <c r="AW4" i="4"/>
  <c r="AV4" i="4"/>
  <c r="AU11" i="4"/>
  <c r="AR11" i="4"/>
  <c r="AT10" i="4"/>
  <c r="AU10" i="4" s="1"/>
  <c r="AR10" i="4"/>
  <c r="AU9" i="4"/>
  <c r="AR9" i="4"/>
  <c r="AU8" i="4"/>
  <c r="AR8" i="4"/>
  <c r="AU7" i="4"/>
  <c r="AR7" i="4"/>
  <c r="AU6" i="4"/>
  <c r="AR6" i="4"/>
  <c r="AT5" i="4"/>
  <c r="AU5" i="4" s="1"/>
  <c r="AQ5" i="4"/>
  <c r="AR5" i="4" s="1"/>
  <c r="AU4" i="4"/>
  <c r="AR4" i="4"/>
  <c r="AN13" i="4"/>
  <c r="AO13" i="4" s="1"/>
  <c r="AM13" i="4"/>
  <c r="AO11" i="4"/>
  <c r="AL11" i="4"/>
  <c r="AO10" i="4"/>
  <c r="AL10" i="4"/>
  <c r="AO9" i="4"/>
  <c r="AL9" i="4"/>
  <c r="AO8" i="4"/>
  <c r="AK8" i="4"/>
  <c r="AL8" i="4" s="1"/>
  <c r="AJ8" i="4"/>
  <c r="AO6" i="4"/>
  <c r="AK6" i="4"/>
  <c r="AJ6" i="4"/>
  <c r="AO5" i="4"/>
  <c r="AK5" i="4"/>
  <c r="AJ5" i="4"/>
  <c r="AO4" i="4"/>
  <c r="AL4" i="4"/>
  <c r="L27" i="5"/>
  <c r="O27" i="5"/>
  <c r="K27" i="5"/>
  <c r="AJ13" i="4" l="1"/>
  <c r="AL5" i="4"/>
  <c r="AK13" i="4"/>
  <c r="AL13" i="4"/>
  <c r="AL6" i="4"/>
  <c r="G11" i="2"/>
  <c r="D12" i="2"/>
  <c r="E12" i="2"/>
  <c r="F12" i="2"/>
  <c r="C12" i="2"/>
  <c r="G14" i="2"/>
  <c r="M6" i="8"/>
  <c r="L6" i="8"/>
  <c r="K6" i="8"/>
  <c r="I5" i="8"/>
  <c r="I8" i="8"/>
  <c r="E8" i="10"/>
  <c r="E3" i="10"/>
  <c r="C30" i="1"/>
  <c r="D35" i="4"/>
  <c r="C35" i="4"/>
  <c r="D34" i="4"/>
  <c r="C34" i="4"/>
  <c r="D33" i="4"/>
  <c r="C33" i="4"/>
  <c r="D23" i="4"/>
  <c r="C23" i="4"/>
  <c r="D21" i="4"/>
  <c r="C21" i="4"/>
  <c r="D20" i="4"/>
  <c r="C20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4" i="4"/>
  <c r="C4" i="4"/>
  <c r="T9" i="4" l="1"/>
  <c r="T10" i="4"/>
  <c r="T11" i="4"/>
  <c r="T12" i="4"/>
  <c r="Q9" i="4"/>
  <c r="Q10" i="4"/>
  <c r="Q11" i="4"/>
  <c r="Q12" i="4"/>
  <c r="Q13" i="4"/>
  <c r="F21" i="1"/>
  <c r="F22" i="1"/>
  <c r="C21" i="1"/>
  <c r="C22" i="1"/>
  <c r="C23" i="1"/>
  <c r="C24" i="1"/>
  <c r="P8" i="1"/>
  <c r="P9" i="1"/>
  <c r="P10" i="1"/>
  <c r="O8" i="1"/>
  <c r="O9" i="1"/>
  <c r="N8" i="1"/>
  <c r="N9" i="1"/>
  <c r="N10" i="1"/>
  <c r="N11" i="1"/>
  <c r="L8" i="1"/>
  <c r="L9" i="1"/>
  <c r="L10" i="1"/>
  <c r="L11" i="1"/>
  <c r="I8" i="1"/>
  <c r="I9" i="1"/>
  <c r="I10" i="1"/>
  <c r="I11" i="1"/>
  <c r="I12" i="1"/>
  <c r="F8" i="1"/>
  <c r="R8" i="1" s="1"/>
  <c r="F9" i="1"/>
  <c r="R9" i="1" s="1"/>
  <c r="F10" i="1"/>
  <c r="R10" i="1" s="1"/>
  <c r="F11" i="1"/>
  <c r="R11" i="1" s="1"/>
  <c r="F12" i="1"/>
  <c r="R12" i="1" s="1"/>
  <c r="C8" i="1"/>
  <c r="C9" i="1"/>
  <c r="C10" i="1"/>
  <c r="O10" i="1" s="1"/>
  <c r="R16" i="2"/>
  <c r="R17" i="2"/>
  <c r="Q16" i="2"/>
  <c r="Q17" i="2"/>
  <c r="O18" i="2"/>
  <c r="P18" i="2"/>
  <c r="M18" i="2"/>
  <c r="N18" i="2"/>
  <c r="Q10" i="1" l="1"/>
  <c r="Q8" i="1"/>
  <c r="Q9" i="1"/>
  <c r="G9" i="10" l="1"/>
  <c r="G16" i="10"/>
  <c r="O32" i="5"/>
  <c r="N32" i="5"/>
  <c r="M32" i="5"/>
  <c r="L32" i="5"/>
  <c r="K32" i="5"/>
  <c r="N22" i="5"/>
  <c r="O22" i="5"/>
  <c r="M22" i="5"/>
  <c r="U28" i="4"/>
  <c r="S25" i="4"/>
  <c r="T25" i="4" s="1"/>
  <c r="S20" i="4"/>
  <c r="T20" i="4" s="1"/>
  <c r="P20" i="4"/>
  <c r="Q20" i="4" s="1"/>
  <c r="T22" i="4"/>
  <c r="T23" i="4"/>
  <c r="Q22" i="4"/>
  <c r="Q23" i="4"/>
  <c r="I19" i="1"/>
  <c r="I20" i="1"/>
  <c r="I21" i="1"/>
  <c r="I22" i="1"/>
  <c r="I23" i="1"/>
  <c r="I24" i="1"/>
  <c r="I25" i="1"/>
  <c r="I18" i="1"/>
  <c r="H26" i="1"/>
  <c r="L21" i="1"/>
  <c r="R21" i="1"/>
  <c r="Q21" i="1" s="1"/>
  <c r="P21" i="1"/>
  <c r="P22" i="1"/>
  <c r="O21" i="1"/>
  <c r="N21" i="1"/>
  <c r="N22" i="1"/>
  <c r="M26" i="1"/>
  <c r="J24" i="1"/>
  <c r="J19" i="1"/>
  <c r="L19" i="1" s="1"/>
  <c r="H19" i="8"/>
  <c r="H18" i="8"/>
  <c r="H16" i="8"/>
  <c r="H15" i="8"/>
  <c r="H12" i="8"/>
  <c r="H9" i="8"/>
  <c r="H10" i="8"/>
  <c r="G13" i="8"/>
  <c r="E25" i="8"/>
  <c r="F25" i="8"/>
  <c r="G25" i="8"/>
  <c r="E24" i="8"/>
  <c r="F24" i="8"/>
  <c r="G24" i="8"/>
  <c r="G7" i="8"/>
  <c r="D25" i="8"/>
  <c r="D24" i="8"/>
  <c r="P20" i="2"/>
  <c r="E7" i="2"/>
  <c r="D7" i="2"/>
  <c r="D10" i="2"/>
  <c r="P25" i="2"/>
  <c r="Q22" i="2"/>
  <c r="R22" i="2"/>
  <c r="K24" i="5"/>
  <c r="L24" i="5"/>
  <c r="M24" i="5"/>
  <c r="N24" i="5"/>
  <c r="O24" i="5"/>
  <c r="K25" i="5"/>
  <c r="L25" i="5"/>
  <c r="M25" i="5"/>
  <c r="N25" i="5"/>
  <c r="O25" i="5"/>
  <c r="K26" i="5"/>
  <c r="L26" i="5"/>
  <c r="M26" i="5"/>
  <c r="N26" i="5"/>
  <c r="O26" i="5"/>
  <c r="L23" i="5"/>
  <c r="M23" i="5"/>
  <c r="M27" i="5" s="1"/>
  <c r="N23" i="5"/>
  <c r="N27" i="5" s="1"/>
  <c r="O23" i="5"/>
  <c r="K23" i="5"/>
  <c r="D53" i="5"/>
  <c r="E53" i="5"/>
  <c r="F53" i="5"/>
  <c r="F57" i="5" s="1"/>
  <c r="G53" i="5"/>
  <c r="D54" i="5"/>
  <c r="D57" i="5" s="1"/>
  <c r="E54" i="5"/>
  <c r="E57" i="5" s="1"/>
  <c r="F54" i="5"/>
  <c r="G54" i="5"/>
  <c r="D55" i="5"/>
  <c r="E55" i="5"/>
  <c r="F55" i="5"/>
  <c r="G55" i="5"/>
  <c r="D56" i="5"/>
  <c r="E56" i="5"/>
  <c r="F56" i="5"/>
  <c r="G56" i="5"/>
  <c r="C54" i="5"/>
  <c r="C55" i="5"/>
  <c r="C56" i="5"/>
  <c r="C53" i="5"/>
  <c r="C57" i="5" s="1"/>
  <c r="G52" i="5"/>
  <c r="F52" i="5"/>
  <c r="E52" i="5"/>
  <c r="D52" i="5"/>
  <c r="C52" i="5"/>
  <c r="G47" i="5"/>
  <c r="F47" i="5"/>
  <c r="E47" i="5"/>
  <c r="D47" i="5"/>
  <c r="C47" i="5"/>
  <c r="C42" i="5"/>
  <c r="L22" i="5"/>
  <c r="K22" i="5"/>
  <c r="O17" i="5"/>
  <c r="N17" i="5"/>
  <c r="M17" i="5"/>
  <c r="L17" i="5"/>
  <c r="K17" i="5"/>
  <c r="O12" i="5"/>
  <c r="N12" i="5"/>
  <c r="M12" i="5"/>
  <c r="L12" i="5"/>
  <c r="K12" i="5"/>
  <c r="K7" i="5"/>
  <c r="D27" i="5"/>
  <c r="E27" i="5"/>
  <c r="F27" i="5"/>
  <c r="G27" i="5"/>
  <c r="D34" i="5"/>
  <c r="E34" i="5"/>
  <c r="F34" i="5"/>
  <c r="G34" i="5"/>
  <c r="D35" i="5"/>
  <c r="E35" i="5"/>
  <c r="F35" i="5"/>
  <c r="G35" i="5"/>
  <c r="D36" i="5"/>
  <c r="E36" i="5"/>
  <c r="F36" i="5"/>
  <c r="G36" i="5"/>
  <c r="D33" i="5"/>
  <c r="E33" i="5"/>
  <c r="F33" i="5"/>
  <c r="G33" i="5"/>
  <c r="D20" i="8"/>
  <c r="D17" i="8"/>
  <c r="D14" i="8"/>
  <c r="D11" i="8"/>
  <c r="D8" i="8"/>
  <c r="D5" i="8"/>
  <c r="H4" i="8"/>
  <c r="H3" i="8"/>
  <c r="D17" i="5"/>
  <c r="E17" i="5"/>
  <c r="E22" i="5" s="1"/>
  <c r="F17" i="5"/>
  <c r="G17" i="5"/>
  <c r="C17" i="5"/>
  <c r="D12" i="5"/>
  <c r="E12" i="5"/>
  <c r="F12" i="5"/>
  <c r="F22" i="5" s="1"/>
  <c r="G12" i="5"/>
  <c r="G22" i="5" s="1"/>
  <c r="C12" i="5"/>
  <c r="C22" i="5" s="1"/>
  <c r="C7" i="5"/>
  <c r="D7" i="5" s="1"/>
  <c r="E7" i="5" s="1"/>
  <c r="H35" i="4"/>
  <c r="E35" i="4"/>
  <c r="H34" i="4"/>
  <c r="E34" i="4"/>
  <c r="H33" i="4"/>
  <c r="E33" i="4"/>
  <c r="K32" i="4"/>
  <c r="J32" i="4"/>
  <c r="I32" i="4"/>
  <c r="G32" i="4"/>
  <c r="F32" i="4"/>
  <c r="D32" i="4"/>
  <c r="C32" i="4"/>
  <c r="H31" i="4"/>
  <c r="E31" i="4"/>
  <c r="H30" i="4"/>
  <c r="E30" i="4"/>
  <c r="H29" i="4"/>
  <c r="E29" i="4"/>
  <c r="K28" i="4"/>
  <c r="J28" i="4"/>
  <c r="I28" i="4"/>
  <c r="G28" i="4"/>
  <c r="F28" i="4"/>
  <c r="D28" i="4"/>
  <c r="C28" i="4"/>
  <c r="H26" i="4"/>
  <c r="E26" i="4"/>
  <c r="H25" i="4"/>
  <c r="E25" i="4"/>
  <c r="H24" i="4"/>
  <c r="E24" i="4"/>
  <c r="H23" i="4"/>
  <c r="E23" i="4"/>
  <c r="H21" i="4"/>
  <c r="E21" i="4"/>
  <c r="H20" i="4"/>
  <c r="E20" i="4"/>
  <c r="H19" i="4"/>
  <c r="E19" i="4"/>
  <c r="K18" i="4"/>
  <c r="J18" i="4"/>
  <c r="I18" i="4"/>
  <c r="G18" i="4"/>
  <c r="F18" i="4"/>
  <c r="D18" i="4"/>
  <c r="C18" i="4"/>
  <c r="H17" i="4"/>
  <c r="E17" i="4"/>
  <c r="H16" i="4"/>
  <c r="E16" i="4"/>
  <c r="H15" i="4"/>
  <c r="E15" i="4"/>
  <c r="H14" i="4"/>
  <c r="E14" i="4"/>
  <c r="H13" i="4"/>
  <c r="E13" i="4"/>
  <c r="H12" i="4"/>
  <c r="E12" i="4"/>
  <c r="H11" i="4"/>
  <c r="E11" i="4"/>
  <c r="H8" i="4"/>
  <c r="E8" i="4"/>
  <c r="H7" i="4"/>
  <c r="E7" i="4"/>
  <c r="H6" i="4"/>
  <c r="E6" i="4"/>
  <c r="H5" i="4"/>
  <c r="E5" i="4"/>
  <c r="H4" i="4"/>
  <c r="E4" i="4"/>
  <c r="AB18" i="4"/>
  <c r="AA18" i="4"/>
  <c r="AC17" i="4"/>
  <c r="AC16" i="4"/>
  <c r="AC15" i="4"/>
  <c r="AC14" i="4"/>
  <c r="T35" i="4"/>
  <c r="T34" i="4"/>
  <c r="T33" i="4"/>
  <c r="T31" i="4"/>
  <c r="T30" i="4"/>
  <c r="T29" i="4"/>
  <c r="Q35" i="4"/>
  <c r="Q34" i="4"/>
  <c r="Q33" i="4"/>
  <c r="Q31" i="4"/>
  <c r="Q30" i="4"/>
  <c r="Q29" i="4"/>
  <c r="T26" i="4"/>
  <c r="T24" i="4"/>
  <c r="T21" i="4"/>
  <c r="T19" i="4"/>
  <c r="Q26" i="4"/>
  <c r="Q25" i="4"/>
  <c r="Q24" i="4"/>
  <c r="Q21" i="4"/>
  <c r="Q19" i="4"/>
  <c r="Q17" i="4"/>
  <c r="Q16" i="4"/>
  <c r="Q15" i="4"/>
  <c r="Q14" i="4"/>
  <c r="Q8" i="4"/>
  <c r="Q7" i="4"/>
  <c r="Q6" i="4"/>
  <c r="Q5" i="4"/>
  <c r="T17" i="4"/>
  <c r="T16" i="4"/>
  <c r="T15" i="4"/>
  <c r="T14" i="4"/>
  <c r="T13" i="4"/>
  <c r="T8" i="4"/>
  <c r="T7" i="4"/>
  <c r="T6" i="4"/>
  <c r="T5" i="4"/>
  <c r="T4" i="4"/>
  <c r="I29" i="1"/>
  <c r="I28" i="1"/>
  <c r="I27" i="1"/>
  <c r="L33" i="1"/>
  <c r="L32" i="1"/>
  <c r="L31" i="1"/>
  <c r="L29" i="1"/>
  <c r="L28" i="1"/>
  <c r="L27" i="1"/>
  <c r="I33" i="1"/>
  <c r="I32" i="1"/>
  <c r="I31" i="1"/>
  <c r="C33" i="1"/>
  <c r="C32" i="1"/>
  <c r="C31" i="1"/>
  <c r="F33" i="1"/>
  <c r="F32" i="1"/>
  <c r="F31" i="1"/>
  <c r="F29" i="1"/>
  <c r="F28" i="1"/>
  <c r="F27" i="1"/>
  <c r="C29" i="1"/>
  <c r="C28" i="1"/>
  <c r="C27" i="1"/>
  <c r="L25" i="1"/>
  <c r="L24" i="1"/>
  <c r="L23" i="1"/>
  <c r="R23" i="1" s="1"/>
  <c r="L22" i="1"/>
  <c r="L20" i="1"/>
  <c r="L18" i="1"/>
  <c r="F25" i="1"/>
  <c r="F24" i="1"/>
  <c r="F23" i="1"/>
  <c r="R22" i="1"/>
  <c r="F20" i="1"/>
  <c r="F19" i="1"/>
  <c r="F18" i="1"/>
  <c r="C25" i="1"/>
  <c r="C20" i="1"/>
  <c r="C19" i="1"/>
  <c r="C18" i="1"/>
  <c r="L4" i="1"/>
  <c r="L5" i="1"/>
  <c r="L6" i="1"/>
  <c r="L7" i="1"/>
  <c r="L12" i="1"/>
  <c r="L13" i="1"/>
  <c r="L14" i="1"/>
  <c r="L15" i="1"/>
  <c r="L16" i="1"/>
  <c r="I4" i="1"/>
  <c r="I5" i="1"/>
  <c r="I6" i="1"/>
  <c r="I7" i="1"/>
  <c r="I13" i="1"/>
  <c r="I14" i="1"/>
  <c r="I15" i="1"/>
  <c r="I16" i="1"/>
  <c r="L3" i="1"/>
  <c r="I3" i="1"/>
  <c r="F4" i="1"/>
  <c r="F5" i="1"/>
  <c r="F6" i="1"/>
  <c r="F7" i="1"/>
  <c r="F13" i="1"/>
  <c r="F14" i="1"/>
  <c r="F15" i="1"/>
  <c r="F16" i="1"/>
  <c r="F3" i="1"/>
  <c r="C4" i="1"/>
  <c r="C5" i="1"/>
  <c r="C6" i="1"/>
  <c r="C7" i="1"/>
  <c r="C11" i="1"/>
  <c r="O11" i="1" s="1"/>
  <c r="C12" i="1"/>
  <c r="C13" i="1"/>
  <c r="C14" i="1"/>
  <c r="C15" i="1"/>
  <c r="C16" i="1"/>
  <c r="C3" i="1"/>
  <c r="R30" i="2"/>
  <c r="Q30" i="2"/>
  <c r="R29" i="2"/>
  <c r="Q29" i="2"/>
  <c r="G17" i="10" l="1"/>
  <c r="G57" i="5"/>
  <c r="D22" i="5"/>
  <c r="D37" i="5"/>
  <c r="H28" i="4"/>
  <c r="J26" i="1"/>
  <c r="O23" i="1"/>
  <c r="O22" i="1"/>
  <c r="Q22" i="1"/>
  <c r="L26" i="1"/>
  <c r="E32" i="4"/>
  <c r="H18" i="4"/>
  <c r="I26" i="1"/>
  <c r="D42" i="5"/>
  <c r="L7" i="5"/>
  <c r="G37" i="5"/>
  <c r="F37" i="5"/>
  <c r="E37" i="5"/>
  <c r="C34" i="5"/>
  <c r="C33" i="5"/>
  <c r="F7" i="5"/>
  <c r="G7" i="5" s="1"/>
  <c r="E18" i="4"/>
  <c r="H32" i="4"/>
  <c r="E28" i="4"/>
  <c r="E42" i="5" l="1"/>
  <c r="M7" i="5"/>
  <c r="C35" i="5"/>
  <c r="F42" i="5" l="1"/>
  <c r="G42" i="5" s="1"/>
  <c r="N7" i="5"/>
  <c r="O7" i="5" s="1"/>
  <c r="C27" i="5"/>
  <c r="C36" i="5"/>
  <c r="C37" i="5" s="1"/>
  <c r="AC18" i="4"/>
  <c r="O18" i="4" l="1"/>
  <c r="P18" i="4"/>
  <c r="H6" i="8" l="1"/>
  <c r="H24" i="8" s="1"/>
  <c r="P33" i="1"/>
  <c r="P32" i="1"/>
  <c r="P31" i="1"/>
  <c r="O29" i="1"/>
  <c r="N29" i="1"/>
  <c r="O28" i="1"/>
  <c r="N28" i="1"/>
  <c r="N27" i="1"/>
  <c r="N12" i="1"/>
  <c r="N13" i="1"/>
  <c r="O27" i="1"/>
  <c r="H30" i="1"/>
  <c r="I30" i="1"/>
  <c r="H17" i="1"/>
  <c r="I17" i="1"/>
  <c r="O24" i="1"/>
  <c r="O20" i="1"/>
  <c r="O31" i="1"/>
  <c r="N25" i="1"/>
  <c r="N19" i="1"/>
  <c r="N18" i="1"/>
  <c r="O12" i="1"/>
  <c r="N16" i="1"/>
  <c r="N15" i="1"/>
  <c r="N14" i="1"/>
  <c r="O13" i="1"/>
  <c r="O7" i="1"/>
  <c r="N6" i="1"/>
  <c r="O5" i="1"/>
  <c r="N4" i="1"/>
  <c r="N3" i="1"/>
  <c r="R32" i="1"/>
  <c r="R31" i="1"/>
  <c r="G27" i="2"/>
  <c r="G26" i="2"/>
  <c r="R34" i="2"/>
  <c r="Q34" i="2"/>
  <c r="R33" i="2"/>
  <c r="Q33" i="2"/>
  <c r="R32" i="2"/>
  <c r="Q32" i="2"/>
  <c r="R28" i="2"/>
  <c r="Q28" i="2"/>
  <c r="R26" i="2"/>
  <c r="Q26" i="2"/>
  <c r="R25" i="2"/>
  <c r="Q25" i="2"/>
  <c r="R24" i="2"/>
  <c r="Q24" i="2"/>
  <c r="R23" i="2"/>
  <c r="Q23" i="2"/>
  <c r="R21" i="2"/>
  <c r="Q21" i="2"/>
  <c r="R20" i="2"/>
  <c r="Q20" i="2"/>
  <c r="R19" i="2"/>
  <c r="Q19" i="2"/>
  <c r="F20" i="2"/>
  <c r="F19" i="2"/>
  <c r="F17" i="2"/>
  <c r="H17" i="2" s="1"/>
  <c r="F16" i="2"/>
  <c r="F14" i="2"/>
  <c r="F13" i="2"/>
  <c r="F10" i="2"/>
  <c r="F9" i="2"/>
  <c r="F7" i="2"/>
  <c r="F6" i="2"/>
  <c r="F4" i="2"/>
  <c r="N30" i="1" l="1"/>
  <c r="O30" i="1"/>
  <c r="O16" i="1"/>
  <c r="O32" i="1"/>
  <c r="R33" i="1"/>
  <c r="N7" i="1"/>
  <c r="O6" i="1"/>
  <c r="O19" i="1"/>
  <c r="N23" i="1"/>
  <c r="N24" i="1"/>
  <c r="O33" i="1"/>
  <c r="O25" i="1"/>
  <c r="I34" i="1"/>
  <c r="L35" i="1" s="1"/>
  <c r="B17" i="1"/>
  <c r="N20" i="1"/>
  <c r="N31" i="1"/>
  <c r="B26" i="1"/>
  <c r="N32" i="1"/>
  <c r="O15" i="1"/>
  <c r="N33" i="1"/>
  <c r="O14" i="1"/>
  <c r="O4" i="1"/>
  <c r="N5" i="1"/>
  <c r="D9" i="10"/>
  <c r="D16" i="10"/>
  <c r="C16" i="10"/>
  <c r="E4" i="10"/>
  <c r="E5" i="10"/>
  <c r="E6" i="10"/>
  <c r="E7" i="10"/>
  <c r="E10" i="10"/>
  <c r="E11" i="10"/>
  <c r="E12" i="10"/>
  <c r="E13" i="10"/>
  <c r="E14" i="10"/>
  <c r="E15" i="10"/>
  <c r="N17" i="1" l="1"/>
  <c r="N26" i="1"/>
  <c r="E16" i="10"/>
  <c r="D17" i="10"/>
  <c r="O18" i="1"/>
  <c r="O26" i="1" s="1"/>
  <c r="C26" i="1"/>
  <c r="C17" i="1"/>
  <c r="O3" i="1"/>
  <c r="O17" i="1" s="1"/>
  <c r="C9" i="10"/>
  <c r="C34" i="1" l="1"/>
  <c r="P36" i="1" s="1"/>
  <c r="O34" i="1"/>
  <c r="R35" i="1" s="1"/>
  <c r="C17" i="10"/>
  <c r="E17" i="10" s="1"/>
  <c r="E9" i="10"/>
  <c r="G24" i="2" l="1"/>
  <c r="G23" i="2"/>
  <c r="Q4" i="2"/>
  <c r="R4" i="2"/>
  <c r="Q5" i="2"/>
  <c r="R5" i="2"/>
  <c r="Q6" i="2"/>
  <c r="R6" i="2"/>
  <c r="R7" i="2"/>
  <c r="Q8" i="2"/>
  <c r="R8" i="2"/>
  <c r="Q9" i="2"/>
  <c r="R9" i="2"/>
  <c r="Q10" i="2"/>
  <c r="R10" i="2"/>
  <c r="Q11" i="2"/>
  <c r="R11" i="2"/>
  <c r="Q12" i="2"/>
  <c r="R12" i="2"/>
  <c r="Q13" i="2"/>
  <c r="R13" i="2"/>
  <c r="Q14" i="2"/>
  <c r="R14" i="2"/>
  <c r="Q15" i="2"/>
  <c r="R15" i="2"/>
  <c r="R29" i="1"/>
  <c r="R28" i="1"/>
  <c r="P27" i="1"/>
  <c r="R27" i="1"/>
  <c r="P29" i="1"/>
  <c r="P28" i="1"/>
  <c r="H13" i="8"/>
  <c r="H25" i="8" s="1"/>
  <c r="H7" i="8"/>
  <c r="R18" i="2" l="1"/>
  <c r="Q18" i="2"/>
  <c r="Q27" i="1"/>
  <c r="Q33" i="1" l="1"/>
  <c r="Q32" i="1"/>
  <c r="Q31" i="1"/>
  <c r="L30" i="1"/>
  <c r="J30" i="1"/>
  <c r="F30" i="1"/>
  <c r="D30" i="1"/>
  <c r="F26" i="1"/>
  <c r="D26" i="1"/>
  <c r="J17" i="1"/>
  <c r="D17" i="1"/>
  <c r="P23" i="1"/>
  <c r="P24" i="1"/>
  <c r="P25" i="1"/>
  <c r="R16" i="1"/>
  <c r="P15" i="1"/>
  <c r="P16" i="1"/>
  <c r="R24" i="1"/>
  <c r="R15" i="1"/>
  <c r="L17" i="1"/>
  <c r="W32" i="4"/>
  <c r="V32" i="4"/>
  <c r="U32" i="4"/>
  <c r="S32" i="4"/>
  <c r="R32" i="4"/>
  <c r="P32" i="4"/>
  <c r="O32" i="4"/>
  <c r="E8" i="3"/>
  <c r="F8" i="3"/>
  <c r="D8" i="3"/>
  <c r="E5" i="3"/>
  <c r="E9" i="3" s="1"/>
  <c r="F5" i="3"/>
  <c r="D5" i="3"/>
  <c r="I9" i="3"/>
  <c r="J9" i="3"/>
  <c r="K9" i="3"/>
  <c r="L9" i="3"/>
  <c r="L18" i="3"/>
  <c r="K18" i="3"/>
  <c r="J18" i="3"/>
  <c r="I18" i="3"/>
  <c r="L16" i="3"/>
  <c r="K16" i="3"/>
  <c r="J16" i="3"/>
  <c r="I16" i="3"/>
  <c r="L14" i="3"/>
  <c r="K14" i="3"/>
  <c r="J14" i="3"/>
  <c r="I14" i="3"/>
  <c r="L7" i="3"/>
  <c r="K7" i="3"/>
  <c r="J7" i="3"/>
  <c r="I7" i="3"/>
  <c r="L5" i="3"/>
  <c r="K5" i="3"/>
  <c r="J5" i="3"/>
  <c r="I5" i="3"/>
  <c r="F9" i="3" l="1"/>
  <c r="Q32" i="4"/>
  <c r="Q16" i="1"/>
  <c r="Q24" i="1"/>
  <c r="Q15" i="1"/>
  <c r="Q23" i="1"/>
  <c r="T32" i="4"/>
  <c r="Q29" i="1"/>
  <c r="Q28" i="1"/>
  <c r="R25" i="1"/>
  <c r="Q25" i="1" s="1"/>
  <c r="D9" i="3"/>
  <c r="L34" i="1" l="1"/>
  <c r="O31" i="2"/>
  <c r="P31" i="2"/>
  <c r="Q31" i="2"/>
  <c r="R31" i="2"/>
  <c r="O27" i="2"/>
  <c r="P27" i="2"/>
  <c r="Q27" i="2"/>
  <c r="R27" i="2"/>
  <c r="N31" i="2"/>
  <c r="M31" i="2"/>
  <c r="N27" i="2"/>
  <c r="M27" i="2"/>
  <c r="G10" i="2" l="1"/>
  <c r="G9" i="2"/>
  <c r="D11" i="2"/>
  <c r="E11" i="2"/>
  <c r="F11" i="2"/>
  <c r="C11" i="2"/>
  <c r="H10" i="2"/>
  <c r="H9" i="2"/>
  <c r="H11" i="2" l="1"/>
  <c r="H20" i="2"/>
  <c r="H19" i="2"/>
  <c r="H16" i="2"/>
  <c r="H14" i="2"/>
  <c r="F3" i="2"/>
  <c r="G3" i="2"/>
  <c r="G4" i="2"/>
  <c r="G6" i="2"/>
  <c r="G7" i="2"/>
  <c r="G13" i="2"/>
  <c r="G16" i="2"/>
  <c r="G17" i="2"/>
  <c r="G20" i="2"/>
  <c r="G20" i="8"/>
  <c r="F20" i="8"/>
  <c r="H20" i="8" s="1"/>
  <c r="E20" i="8"/>
  <c r="G17" i="8"/>
  <c r="F17" i="8"/>
  <c r="E17" i="8"/>
  <c r="G14" i="8"/>
  <c r="F14" i="8"/>
  <c r="E14" i="8"/>
  <c r="E11" i="8"/>
  <c r="F11" i="8"/>
  <c r="G11" i="8"/>
  <c r="H11" i="8" s="1"/>
  <c r="H17" i="8" l="1"/>
  <c r="H14" i="8"/>
  <c r="G8" i="8"/>
  <c r="F8" i="8"/>
  <c r="E8" i="8"/>
  <c r="G5" i="8"/>
  <c r="F5" i="8"/>
  <c r="E5" i="8"/>
  <c r="H8" i="8" l="1"/>
  <c r="G21" i="8"/>
  <c r="E21" i="8"/>
  <c r="F21" i="8"/>
  <c r="H5" i="8"/>
  <c r="H21" i="8" l="1"/>
  <c r="H23" i="8" s="1"/>
  <c r="V28" i="4"/>
  <c r="W28" i="4"/>
  <c r="K24" i="2" l="1"/>
  <c r="K23" i="2"/>
  <c r="K22" i="2"/>
  <c r="H7" i="2" l="1"/>
  <c r="H4" i="2"/>
  <c r="V18" i="4"/>
  <c r="W18" i="4"/>
  <c r="K19" i="2"/>
  <c r="K18" i="2"/>
  <c r="K17" i="2"/>
  <c r="K4" i="2"/>
  <c r="K5" i="2"/>
  <c r="K6" i="2"/>
  <c r="K8" i="2"/>
  <c r="K12" i="2"/>
  <c r="K13" i="2"/>
  <c r="K14" i="2"/>
  <c r="K15" i="2"/>
  <c r="T25" i="1"/>
  <c r="C21" i="2"/>
  <c r="C18" i="2"/>
  <c r="C15" i="2"/>
  <c r="C8" i="2"/>
  <c r="C5" i="2"/>
  <c r="U18" i="4"/>
  <c r="R18" i="4"/>
  <c r="K3" i="2" l="1"/>
  <c r="K7" i="2"/>
  <c r="E15" i="2"/>
  <c r="H13" i="2"/>
  <c r="C22" i="2"/>
  <c r="F21" i="2"/>
  <c r="H21" i="2" s="1"/>
  <c r="E18" i="2"/>
  <c r="E5" i="2"/>
  <c r="F8" i="2"/>
  <c r="H8" i="2" s="1"/>
  <c r="D21" i="2"/>
  <c r="E21" i="2"/>
  <c r="F18" i="2"/>
  <c r="H18" i="2" s="1"/>
  <c r="E8" i="2"/>
  <c r="D18" i="2"/>
  <c r="D5" i="2"/>
  <c r="D8" i="2"/>
  <c r="D15" i="2"/>
  <c r="Q4" i="4"/>
  <c r="S28" i="4"/>
  <c r="R28" i="4"/>
  <c r="O28" i="4"/>
  <c r="P28" i="4"/>
  <c r="S18" i="4"/>
  <c r="T18" i="4" s="1"/>
  <c r="G25" i="2" l="1"/>
  <c r="G28" i="2"/>
  <c r="K16" i="2"/>
  <c r="G18" i="2"/>
  <c r="F15" i="2"/>
  <c r="H15" i="2" s="1"/>
  <c r="E22" i="2"/>
  <c r="H6" i="2"/>
  <c r="G5" i="2"/>
  <c r="G15" i="2"/>
  <c r="D22" i="2"/>
  <c r="G21" i="2"/>
  <c r="G8" i="2"/>
  <c r="F5" i="2"/>
  <c r="H3" i="2"/>
  <c r="Q28" i="4"/>
  <c r="T28" i="4"/>
  <c r="Q18" i="4"/>
  <c r="G12" i="2" l="1"/>
  <c r="F22" i="2"/>
  <c r="G22" i="2"/>
  <c r="H12" i="2"/>
  <c r="H5" i="2"/>
  <c r="P20" i="1"/>
  <c r="P19" i="1"/>
  <c r="P18" i="1"/>
  <c r="P4" i="1"/>
  <c r="P5" i="1"/>
  <c r="P6" i="1"/>
  <c r="P7" i="1"/>
  <c r="P11" i="1"/>
  <c r="Q11" i="1" s="1"/>
  <c r="P12" i="1"/>
  <c r="P13" i="1"/>
  <c r="P14" i="1"/>
  <c r="P3" i="1"/>
  <c r="P17" i="1" l="1"/>
  <c r="P26" i="1"/>
  <c r="V26" i="1"/>
  <c r="P30" i="1"/>
  <c r="U25" i="1"/>
  <c r="U26" i="1"/>
  <c r="F17" i="1" l="1"/>
  <c r="F34" i="1" s="1"/>
  <c r="R18" i="1"/>
  <c r="Q18" i="1" s="1"/>
  <c r="R4" i="1"/>
  <c r="Q4" i="1" s="1"/>
  <c r="R14" i="1"/>
  <c r="Q14" i="1" s="1"/>
  <c r="R13" i="1"/>
  <c r="Q13" i="1" s="1"/>
  <c r="R20" i="1"/>
  <c r="Q20" i="1" s="1"/>
  <c r="V25" i="1"/>
  <c r="R6" i="1"/>
  <c r="Q6" i="1" s="1"/>
  <c r="R5" i="1"/>
  <c r="Q12" i="1"/>
  <c r="U20" i="1"/>
  <c r="R7" i="1"/>
  <c r="Q7" i="1" s="1"/>
  <c r="T20" i="1"/>
  <c r="P37" i="1" l="1"/>
  <c r="P38" i="1" s="1"/>
  <c r="F35" i="1"/>
  <c r="T15" i="1"/>
  <c r="Q5" i="1"/>
  <c r="R19" i="1"/>
  <c r="R26" i="1" s="1"/>
  <c r="Q26" i="1" s="1"/>
  <c r="R3" i="1"/>
  <c r="Q3" i="1" s="1"/>
  <c r="T24" i="1"/>
  <c r="Q19" i="1" l="1"/>
  <c r="R17" i="1"/>
  <c r="Q17" i="1" s="1"/>
  <c r="V20" i="1"/>
  <c r="V23" i="1" s="1"/>
  <c r="U15" i="1"/>
  <c r="V15" i="1" l="1"/>
  <c r="V17" i="1" s="1"/>
  <c r="K21" i="2"/>
  <c r="K25" i="2" s="1"/>
  <c r="K20" i="2"/>
  <c r="U24" i="1"/>
  <c r="R30" i="1" l="1"/>
  <c r="V24" i="1" s="1"/>
  <c r="R34" i="1" l="1"/>
  <c r="Q30" i="1"/>
</calcChain>
</file>

<file path=xl/sharedStrings.xml><?xml version="1.0" encoding="utf-8"?>
<sst xmlns="http://schemas.openxmlformats.org/spreadsheetml/2006/main" count="449" uniqueCount="185">
  <si>
    <t>Bhim 115</t>
  </si>
  <si>
    <t>Placement</t>
  </si>
  <si>
    <t>Return</t>
  </si>
  <si>
    <t>Net Sale</t>
  </si>
  <si>
    <t>Hy Paddy</t>
  </si>
  <si>
    <t>Maize</t>
  </si>
  <si>
    <t>Res paddy</t>
  </si>
  <si>
    <t>Mustard</t>
  </si>
  <si>
    <t>Wheat</t>
  </si>
  <si>
    <t>Qty</t>
  </si>
  <si>
    <t>NRV</t>
  </si>
  <si>
    <t>Value</t>
  </si>
  <si>
    <t>GD</t>
  </si>
  <si>
    <t>CG NRV</t>
  </si>
  <si>
    <t>JBP NRV</t>
  </si>
  <si>
    <t>Zone NRV</t>
  </si>
  <si>
    <t>Crop</t>
  </si>
  <si>
    <t>Hybrid</t>
  </si>
  <si>
    <t>Paddy</t>
  </si>
  <si>
    <t>Zone</t>
  </si>
  <si>
    <t>Return %</t>
  </si>
  <si>
    <t>Projection FY 24</t>
  </si>
  <si>
    <t>Focused Hybrids</t>
  </si>
  <si>
    <t>Zone SRN</t>
  </si>
  <si>
    <t>REGION</t>
  </si>
  <si>
    <t>App Status</t>
  </si>
  <si>
    <t>DRT</t>
  </si>
  <si>
    <t>RET</t>
  </si>
  <si>
    <t>Grand Total</t>
  </si>
  <si>
    <t>App download</t>
  </si>
  <si>
    <t>Non App Download</t>
  </si>
  <si>
    <t>NRV FY 20</t>
  </si>
  <si>
    <t>ABS Qty</t>
  </si>
  <si>
    <t>ABS Amount</t>
  </si>
  <si>
    <t>CD</t>
  </si>
  <si>
    <t>Res Paddy</t>
  </si>
  <si>
    <t>Total Business</t>
  </si>
  <si>
    <t>Zone Budget</t>
  </si>
  <si>
    <t>Turn Over</t>
  </si>
  <si>
    <t>Expense %</t>
  </si>
  <si>
    <t>Collection in ABS &amp; CD %</t>
  </si>
  <si>
    <t>ABS + CD Lacs</t>
  </si>
  <si>
    <t>% Achievement</t>
  </si>
  <si>
    <t>Hy Paddy + Maize</t>
  </si>
  <si>
    <t>Res Paddy + Mustard + Wheat</t>
  </si>
  <si>
    <t>FY 23</t>
  </si>
  <si>
    <t>FY 24</t>
  </si>
  <si>
    <t>Product Mix &amp; PLC</t>
  </si>
  <si>
    <t>GJMH</t>
  </si>
  <si>
    <t>Kota</t>
  </si>
  <si>
    <t>Bajra</t>
  </si>
  <si>
    <t>GMH</t>
  </si>
  <si>
    <t>2355+</t>
  </si>
  <si>
    <t>Virat</t>
  </si>
  <si>
    <t>Bhim115</t>
  </si>
  <si>
    <t>Minibhog</t>
  </si>
  <si>
    <t>Plan FY 22</t>
  </si>
  <si>
    <t>Projection FY 25</t>
  </si>
  <si>
    <t>FY 25</t>
  </si>
  <si>
    <t>FY 26</t>
  </si>
  <si>
    <t>Territory</t>
  </si>
  <si>
    <t>Region</t>
  </si>
  <si>
    <t>GJMH Region</t>
  </si>
  <si>
    <t>Product</t>
  </si>
  <si>
    <t>Activity</t>
  </si>
  <si>
    <t>Sales 22</t>
  </si>
  <si>
    <t>PDA Conducted</t>
  </si>
  <si>
    <t>TM Presence</t>
  </si>
  <si>
    <t>FD</t>
  </si>
  <si>
    <t>HD</t>
  </si>
  <si>
    <t>MFD</t>
  </si>
  <si>
    <t>RCT</t>
  </si>
  <si>
    <t>2111 Total</t>
  </si>
  <si>
    <t>2121 Total</t>
  </si>
  <si>
    <t>2233 Total</t>
  </si>
  <si>
    <t>2253 Total</t>
  </si>
  <si>
    <t>2318 Total</t>
  </si>
  <si>
    <t>Bhim 115 Total</t>
  </si>
  <si>
    <t>Dewas</t>
  </si>
  <si>
    <t>Ratlam</t>
  </si>
  <si>
    <t>Chittorgarh</t>
  </si>
  <si>
    <t>Bhilwara</t>
  </si>
  <si>
    <t>OFD Planted</t>
  </si>
  <si>
    <t>Entry Number</t>
  </si>
  <si>
    <t>No of OFD Received</t>
  </si>
  <si>
    <t>Status of OFD's</t>
  </si>
  <si>
    <t>Yield data Taken</t>
  </si>
  <si>
    <t>Submitted in Demo  App</t>
  </si>
  <si>
    <t>Ach FY 22</t>
  </si>
  <si>
    <t>2020-21</t>
  </si>
  <si>
    <t>2021-22</t>
  </si>
  <si>
    <t>2022-23</t>
  </si>
  <si>
    <t>Scan Qty (mt)</t>
  </si>
  <si>
    <t>Net Sale (mt)</t>
  </si>
  <si>
    <t>% Scanning (qty)</t>
  </si>
  <si>
    <t>DRT Sale (mt)</t>
  </si>
  <si>
    <t>DRT Sale %</t>
  </si>
  <si>
    <t>RET Sale (mt)</t>
  </si>
  <si>
    <t>RET Sale %</t>
  </si>
  <si>
    <t>GJMH Total</t>
  </si>
  <si>
    <t>Kota Total</t>
  </si>
  <si>
    <t>Sonari + Shiny</t>
  </si>
  <si>
    <t xml:space="preserve">Territory </t>
  </si>
  <si>
    <t xml:space="preserve">GD  Value </t>
  </si>
  <si>
    <t xml:space="preserve">Ach. Value </t>
  </si>
  <si>
    <t xml:space="preserve">% of Acheivement </t>
  </si>
  <si>
    <t xml:space="preserve">Yeola </t>
  </si>
  <si>
    <t>Vansda</t>
  </si>
  <si>
    <t>Vyara</t>
  </si>
  <si>
    <t>Himmatnagar</t>
  </si>
  <si>
    <t>Aurangabad</t>
  </si>
  <si>
    <t>Valsad</t>
  </si>
  <si>
    <t>Res</t>
  </si>
  <si>
    <t>Kota SRN</t>
  </si>
  <si>
    <t>GJMH SRN</t>
  </si>
  <si>
    <t>Zone Total</t>
  </si>
  <si>
    <t xml:space="preserve">GD </t>
  </si>
  <si>
    <t>GD Value</t>
  </si>
  <si>
    <t>Ach Value</t>
  </si>
  <si>
    <t xml:space="preserve">Laxmi Plus </t>
  </si>
  <si>
    <t>FY 22</t>
  </si>
  <si>
    <t>Growth</t>
  </si>
  <si>
    <t>Business Value</t>
  </si>
  <si>
    <t>No Of MDOs</t>
  </si>
  <si>
    <t>HQ</t>
  </si>
  <si>
    <t>Girjesh Patidar</t>
  </si>
  <si>
    <t>M1</t>
  </si>
  <si>
    <t>Emp Code</t>
  </si>
  <si>
    <t>Designation</t>
  </si>
  <si>
    <t>Self Rating</t>
  </si>
  <si>
    <t>Appraiser</t>
  </si>
  <si>
    <t>Name</t>
  </si>
  <si>
    <t>Narayan Hari</t>
  </si>
  <si>
    <t>J4</t>
  </si>
  <si>
    <t>Arjun Kumar Verma</t>
  </si>
  <si>
    <t>Namdeo Uttamrao Kharat</t>
  </si>
  <si>
    <t>Ramesh Chand</t>
  </si>
  <si>
    <t>J3</t>
  </si>
  <si>
    <t>Yatendra Khirwar</t>
  </si>
  <si>
    <t>Proposed Grade</t>
  </si>
  <si>
    <t>Pavan Kumar Sharma</t>
  </si>
  <si>
    <t>Inamdar Rijaj Ayub</t>
  </si>
  <si>
    <t>Yeola</t>
  </si>
  <si>
    <t>Abhishek Maurya</t>
  </si>
  <si>
    <t>J2</t>
  </si>
  <si>
    <t>Abhishek Sharma</t>
  </si>
  <si>
    <t>J1</t>
  </si>
  <si>
    <t>Gujarat</t>
  </si>
  <si>
    <t>GD (MT)</t>
  </si>
  <si>
    <t>Sale Qty</t>
  </si>
  <si>
    <t>Sale Value</t>
  </si>
  <si>
    <t>Plan FY 23</t>
  </si>
  <si>
    <t>Ach FY 23</t>
  </si>
  <si>
    <t>Projection FY 26</t>
  </si>
  <si>
    <t>Gain over GD</t>
  </si>
  <si>
    <t>2023-24</t>
  </si>
  <si>
    <t>2024-25 Tgt</t>
  </si>
  <si>
    <t>Sales 23</t>
  </si>
  <si>
    <t>PDA Plan 23</t>
  </si>
  <si>
    <t>O/S &gt; 270 Days</t>
  </si>
  <si>
    <t>Kota Region</t>
  </si>
  <si>
    <t>4001 Total</t>
  </si>
  <si>
    <t>4226 Total</t>
  </si>
  <si>
    <t>4343 Total</t>
  </si>
  <si>
    <t>4272 Total</t>
  </si>
  <si>
    <t>Hybrid Paddy</t>
  </si>
  <si>
    <t>Maize Kota</t>
  </si>
  <si>
    <t>Hy Paddy Total</t>
  </si>
  <si>
    <t>Maize Total</t>
  </si>
  <si>
    <t>GD FY 23</t>
  </si>
  <si>
    <t>4307+4361</t>
  </si>
  <si>
    <t>3651/3699</t>
  </si>
  <si>
    <t>3699 Total</t>
  </si>
  <si>
    <t>Harvested</t>
  </si>
  <si>
    <t>VNR 2</t>
  </si>
  <si>
    <t>Dausa</t>
  </si>
  <si>
    <t>2111 Power</t>
  </si>
  <si>
    <t>Laxmi Plus</t>
  </si>
  <si>
    <t>4352/4324</t>
  </si>
  <si>
    <t xml:space="preserve">GJMH </t>
  </si>
  <si>
    <t>504-1</t>
  </si>
  <si>
    <t>Zone Business</t>
  </si>
  <si>
    <t>Zone Maize</t>
  </si>
  <si>
    <t>Kota Maize</t>
  </si>
  <si>
    <t>GJMH Maize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</si>
</sst>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</font>
    <font>
      <sz val="11"/>
      <color rgb="FF000000"/>
      <name val="Calibri"/>
    </font>
    <font>
      <b/>
      <sz val="11"/>
      <name val="Calibri"/>
    </font>
    <font>
      <b/>
      <sz val="9"/>
      <name val="Calibri"/>
    </font>
    <font>
      <sz val="8"/>
      <name val="Calibri"/>
    </font>
    <font>
      <sz val="10"/>
      <name val="Calibri"/>
    </font>
    <font>
      <sz val="11"/>
      <name val="Calibri"/>
      <scheme val="minor"/>
    </font>
    <font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10" borderId="0" applyNumberFormat="0" applyBorder="0" applyAlignment="0" applyProtection="0"/>
    <xf numFmtId="9" fontId="15" fillId="0" borderId="0" applyFont="0" applyFill="0" applyBorder="0" applyAlignment="0" applyProtection="0"/>
    <xf numFmtId="0" fontId="22" fillId="0" borderId="0"/>
    <xf numFmtId="0" fontId="2" fillId="0" borderId="0"/>
  </cellStyleXfs>
  <cellXfs count="18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0" fontId="0" fillId="5" borderId="1" xfId="0" applyFill="1" applyBorder="1"/>
    <xf numFmtId="2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indent="1"/>
    </xf>
    <xf numFmtId="2" fontId="1" fillId="3" borderId="1" xfId="0" applyNumberFormat="1" applyFont="1" applyFill="1" applyBorder="1" applyAlignment="1">
      <alignment horizontal="center"/>
    </xf>
    <xf numFmtId="0" fontId="7" fillId="6" borderId="3" xfId="0" applyFont="1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2" fontId="1" fillId="8" borderId="0" xfId="0" applyNumberFormat="1" applyFont="1" applyFill="1"/>
    <xf numFmtId="2" fontId="1" fillId="8" borderId="1" xfId="0" applyNumberFormat="1" applyFont="1" applyFill="1" applyBorder="1" applyAlignment="1">
      <alignment horizontal="center"/>
    </xf>
    <xf numFmtId="0" fontId="0" fillId="9" borderId="1" xfId="0" applyFill="1" applyBorder="1"/>
    <xf numFmtId="2" fontId="0" fillId="9" borderId="1" xfId="0" applyNumberFormat="1" applyFill="1" applyBorder="1" applyAlignment="1">
      <alignment horizontal="left"/>
    </xf>
    <xf numFmtId="2" fontId="0" fillId="2" borderId="0" xfId="0" applyNumberForma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2" fontId="1" fillId="9" borderId="1" xfId="0" applyNumberFormat="1" applyFont="1" applyFill="1" applyBorder="1" applyAlignment="1">
      <alignment horizontal="center"/>
    </xf>
    <xf numFmtId="2" fontId="1" fillId="9" borderId="0" xfId="0" applyNumberFormat="1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9" xfId="0" applyFill="1" applyBorder="1"/>
    <xf numFmtId="0" fontId="0" fillId="12" borderId="1" xfId="0" applyFill="1" applyBorder="1" applyAlignment="1">
      <alignment horizontal="center"/>
    </xf>
    <xf numFmtId="0" fontId="1" fillId="14" borderId="1" xfId="0" applyFont="1" applyFill="1" applyBorder="1"/>
    <xf numFmtId="0" fontId="10" fillId="0" borderId="1" xfId="0" applyFont="1" applyBorder="1" applyAlignment="1">
      <alignment vertical="center"/>
    </xf>
    <xf numFmtId="0" fontId="10" fillId="15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164" fontId="12" fillId="2" borderId="1" xfId="0" applyNumberFormat="1" applyFont="1" applyFill="1" applyBorder="1" applyAlignment="1">
      <alignment horizontal="left" vertical="center"/>
    </xf>
    <xf numFmtId="164" fontId="0" fillId="4" borderId="1" xfId="0" applyNumberFormat="1" applyFill="1" applyBorder="1"/>
    <xf numFmtId="0" fontId="0" fillId="12" borderId="1" xfId="0" applyFill="1" applyBorder="1" applyAlignment="1">
      <alignment horizontal="left"/>
    </xf>
    <xf numFmtId="0" fontId="0" fillId="12" borderId="1" xfId="0" applyFill="1" applyBorder="1"/>
    <xf numFmtId="0" fontId="0" fillId="13" borderId="1" xfId="0" applyFill="1" applyBorder="1"/>
    <xf numFmtId="0" fontId="14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 vertical="center"/>
    </xf>
    <xf numFmtId="1" fontId="0" fillId="0" borderId="1" xfId="0" applyNumberFormat="1" applyBorder="1"/>
    <xf numFmtId="1" fontId="1" fillId="14" borderId="1" xfId="0" applyNumberFormat="1" applyFont="1" applyFill="1" applyBorder="1"/>
    <xf numFmtId="0" fontId="6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right" vertical="center"/>
    </xf>
    <xf numFmtId="0" fontId="6" fillId="12" borderId="4" xfId="0" applyFont="1" applyFill="1" applyBorder="1" applyAlignment="1">
      <alignment vertical="center"/>
    </xf>
    <xf numFmtId="0" fontId="6" fillId="12" borderId="5" xfId="0" applyFont="1" applyFill="1" applyBorder="1" applyAlignment="1">
      <alignment vertical="center"/>
    </xf>
    <xf numFmtId="0" fontId="6" fillId="12" borderId="5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right" vertical="center"/>
    </xf>
    <xf numFmtId="0" fontId="5" fillId="12" borderId="4" xfId="0" applyFont="1" applyFill="1" applyBorder="1" applyAlignment="1">
      <alignment vertical="center"/>
    </xf>
    <xf numFmtId="0" fontId="5" fillId="12" borderId="5" xfId="0" applyFont="1" applyFill="1" applyBorder="1" applyAlignment="1">
      <alignment vertical="center"/>
    </xf>
    <xf numFmtId="0" fontId="5" fillId="12" borderId="5" xfId="0" applyFont="1" applyFill="1" applyBorder="1" applyAlignment="1">
      <alignment horizontal="right" vertical="center"/>
    </xf>
    <xf numFmtId="0" fontId="5" fillId="7" borderId="4" xfId="0" applyFont="1" applyFill="1" applyBorder="1" applyAlignment="1">
      <alignment vertical="center"/>
    </xf>
    <xf numFmtId="0" fontId="5" fillId="7" borderId="5" xfId="0" applyFont="1" applyFill="1" applyBorder="1" applyAlignment="1">
      <alignment vertical="center"/>
    </xf>
    <xf numFmtId="0" fontId="5" fillId="7" borderId="5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indent="1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/>
    <xf numFmtId="2" fontId="0" fillId="0" borderId="1" xfId="0" applyNumberFormat="1" applyBorder="1"/>
    <xf numFmtId="2" fontId="1" fillId="0" borderId="0" xfId="0" applyNumberFormat="1" applyFont="1"/>
    <xf numFmtId="2" fontId="1" fillId="2" borderId="1" xfId="0" applyNumberFormat="1" applyFont="1" applyFill="1" applyBorder="1"/>
    <xf numFmtId="0" fontId="0" fillId="2" borderId="1" xfId="0" applyFill="1" applyBorder="1"/>
    <xf numFmtId="0" fontId="13" fillId="12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" fillId="3" borderId="0" xfId="0" applyNumberFormat="1" applyFont="1" applyFill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3" fillId="0" borderId="1" xfId="0" applyNumberFormat="1" applyFont="1" applyBorder="1" applyAlignment="1">
      <alignment horizontal="left" vertical="center"/>
    </xf>
    <xf numFmtId="1" fontId="0" fillId="0" borderId="1" xfId="0" applyNumberFormat="1" applyBorder="1" applyAlignment="1">
      <alignment horizontal="center"/>
    </xf>
    <xf numFmtId="164" fontId="1" fillId="3" borderId="1" xfId="0" applyNumberFormat="1" applyFont="1" applyFill="1" applyBorder="1"/>
    <xf numFmtId="2" fontId="0" fillId="0" borderId="0" xfId="0" applyNumberFormat="1"/>
    <xf numFmtId="164" fontId="0" fillId="0" borderId="0" xfId="0" applyNumberFormat="1" applyAlignment="1">
      <alignment horizontal="center"/>
    </xf>
    <xf numFmtId="1" fontId="1" fillId="2" borderId="9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/>
    <xf numFmtId="9" fontId="0" fillId="0" borderId="0" xfId="2" applyFont="1"/>
    <xf numFmtId="164" fontId="0" fillId="13" borderId="1" xfId="0" applyNumberFormat="1" applyFill="1" applyBorder="1"/>
    <xf numFmtId="0" fontId="1" fillId="2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1" xfId="1" applyFont="1" applyFill="1" applyBorder="1"/>
    <xf numFmtId="0" fontId="1" fillId="11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16" fillId="16" borderId="14" xfId="0" applyNumberFormat="1" applyFont="1" applyFill="1" applyBorder="1"/>
    <xf numFmtId="0" fontId="17" fillId="0" borderId="14" xfId="0" applyFont="1" applyBorder="1" applyAlignment="1">
      <alignment horizontal="left" vertical="center"/>
    </xf>
    <xf numFmtId="0" fontId="16" fillId="17" borderId="14" xfId="0" applyFont="1" applyFill="1" applyBorder="1" applyAlignment="1">
      <alignment horizontal="left"/>
    </xf>
    <xf numFmtId="0" fontId="16" fillId="17" borderId="14" xfId="0" applyFont="1" applyFill="1" applyBorder="1"/>
    <xf numFmtId="2" fontId="0" fillId="0" borderId="9" xfId="0" applyNumberFormat="1" applyBorder="1" applyAlignment="1">
      <alignment horizontal="center"/>
    </xf>
    <xf numFmtId="2" fontId="0" fillId="5" borderId="9" xfId="0" applyNumberForma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center"/>
    </xf>
    <xf numFmtId="0" fontId="16" fillId="0" borderId="14" xfId="0" applyFont="1" applyBorder="1"/>
    <xf numFmtId="0" fontId="18" fillId="0" borderId="14" xfId="0" applyFont="1" applyBorder="1"/>
    <xf numFmtId="0" fontId="17" fillId="0" borderId="15" xfId="0" applyFont="1" applyBorder="1" applyAlignment="1">
      <alignment horizontal="left" vertical="center"/>
    </xf>
    <xf numFmtId="164" fontId="16" fillId="0" borderId="14" xfId="0" applyNumberFormat="1" applyFont="1" applyBorder="1" applyAlignment="1">
      <alignment horizontal="center"/>
    </xf>
    <xf numFmtId="0" fontId="17" fillId="0" borderId="16" xfId="0" applyFont="1" applyBorder="1" applyAlignment="1">
      <alignment horizontal="left" vertical="center"/>
    </xf>
    <xf numFmtId="164" fontId="16" fillId="0" borderId="14" xfId="0" applyNumberFormat="1" applyFont="1" applyBorder="1"/>
    <xf numFmtId="0" fontId="17" fillId="0" borderId="14" xfId="0" applyFont="1" applyBorder="1" applyAlignment="1">
      <alignment horizontal="center" vertical="center"/>
    </xf>
    <xf numFmtId="1" fontId="16" fillId="0" borderId="14" xfId="0" applyNumberFormat="1" applyFont="1" applyBorder="1"/>
    <xf numFmtId="0" fontId="19" fillId="0" borderId="14" xfId="0" applyFont="1" applyBorder="1" applyAlignment="1">
      <alignment vertical="center"/>
    </xf>
    <xf numFmtId="0" fontId="20" fillId="0" borderId="14" xfId="0" applyFont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right"/>
    </xf>
    <xf numFmtId="0" fontId="17" fillId="0" borderId="14" xfId="0" applyFont="1" applyBorder="1" applyAlignment="1">
      <alignment vertical="center"/>
    </xf>
    <xf numFmtId="43" fontId="16" fillId="0" borderId="14" xfId="0" applyNumberFormat="1" applyFont="1" applyBorder="1" applyAlignment="1">
      <alignment horizontal="right" vertical="center"/>
    </xf>
    <xf numFmtId="43" fontId="16" fillId="0" borderId="14" xfId="0" applyNumberFormat="1" applyFont="1" applyBorder="1" applyAlignment="1">
      <alignment vertical="center"/>
    </xf>
    <xf numFmtId="0" fontId="17" fillId="0" borderId="14" xfId="0" applyFont="1" applyBorder="1" applyAlignment="1">
      <alignment horizontal="right" vertical="center"/>
    </xf>
    <xf numFmtId="9" fontId="0" fillId="0" borderId="1" xfId="2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/>
    </xf>
    <xf numFmtId="0" fontId="23" fillId="0" borderId="14" xfId="3" applyFont="1" applyBorder="1" applyAlignment="1">
      <alignment horizontal="center"/>
    </xf>
    <xf numFmtId="0" fontId="23" fillId="0" borderId="14" xfId="4" applyFont="1" applyFill="1" applyBorder="1" applyAlignment="1">
      <alignment horizontal="center"/>
    </xf>
    <xf numFmtId="1" fontId="23" fillId="0" borderId="14" xfId="4" applyNumberFormat="1" applyFont="1" applyFill="1" applyBorder="1" applyAlignment="1">
      <alignment horizontal="center"/>
    </xf>
    <xf numFmtId="0" fontId="23" fillId="0" borderId="14" xfId="4" applyFont="1" applyBorder="1"/>
    <xf numFmtId="0" fontId="23" fillId="0" borderId="14" xfId="4" applyFont="1" applyBorder="1"/>
    <xf numFmtId="0" fontId="0" fillId="3" borderId="11" xfId="0" applyFill="1" applyBorder="1" applyAlignment="1">
      <alignment horizontal="center"/>
    </xf>
    <xf numFmtId="0" fontId="0" fillId="18" borderId="11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</cellXfs>
  <cellStyles count="5">
    <cellStyle name="Accent1" xfId="1" builtinId="29"/>
    <cellStyle name="Normal" xfId="0" builtinId="0"/>
    <cellStyle name="Normal 2" xfId="3" xr:uid="{D6FAA307-6705-4967-AF05-785F25B069F0}"/>
    <cellStyle name="Normal 3" xfId="4" xr:uid="{71B899FC-0F6F-43AC-BB29-DB7036FB070F}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57"/>
  <sheetViews>
    <sheetView tabSelected="1" workbookViewId="0">
      <selection activeCell="G22" sqref="G22"/>
    </sheetView>
  </sheetViews>
  <sheetFormatPr defaultRowHeight="14.5"/>
  <cols>
    <col min="1" max="1" width="9.453125" bestFit="1" customWidth="1"/>
    <col min="2" max="2" width="10.26953125" customWidth="1"/>
    <col min="3" max="3" width="9.1796875" style="2"/>
    <col min="4" max="4" width="10.453125" style="2" bestFit="1" customWidth="1"/>
    <col min="5" max="6" width="9.1796875" style="2"/>
    <col min="8" max="8" width="15" bestFit="1" customWidth="1"/>
    <col min="10" max="10" width="0" hidden="1" customWidth="1"/>
    <col min="11" max="11" width="9.81640625" hidden="1" customWidth="1"/>
    <col min="12" max="12" width="10" style="1" bestFit="1" customWidth="1"/>
    <col min="20" max="20" width="22.26953125" bestFit="1" customWidth="1"/>
  </cols>
  <sheetData>
    <row r="2" spans="1:21">
      <c r="A2" s="4"/>
      <c r="B2" s="4"/>
      <c r="C2" s="5" t="s">
        <v>12</v>
      </c>
      <c r="D2" s="5" t="s">
        <v>1</v>
      </c>
      <c r="E2" s="5" t="s">
        <v>2</v>
      </c>
      <c r="F2" s="5" t="s">
        <v>3</v>
      </c>
      <c r="G2" s="5" t="s">
        <v>20</v>
      </c>
      <c r="H2" s="5" t="s">
        <v>42</v>
      </c>
      <c r="L2" s="60"/>
      <c r="M2" s="157" t="s">
        <v>48</v>
      </c>
      <c r="N2" s="157"/>
      <c r="O2" s="158" t="s">
        <v>49</v>
      </c>
      <c r="P2" s="158"/>
      <c r="Q2" s="158" t="s">
        <v>19</v>
      </c>
      <c r="R2" s="158"/>
    </row>
    <row r="3" spans="1:21">
      <c r="A3" s="155" t="s">
        <v>4</v>
      </c>
      <c r="B3" s="4" t="s">
        <v>51</v>
      </c>
      <c r="C3" s="129">
        <v>534</v>
      </c>
      <c r="D3" s="129">
        <v>637</v>
      </c>
      <c r="E3" s="129">
        <v>137.6</v>
      </c>
      <c r="F3" s="15">
        <f>(D3-E3)</f>
        <v>499.4</v>
      </c>
      <c r="G3" s="14">
        <f t="shared" ref="G3:G18" si="0">E3/D3*100</f>
        <v>21.601255886970172</v>
      </c>
      <c r="H3" s="14">
        <f>F3/C3*100</f>
        <v>93.520599250936314</v>
      </c>
      <c r="J3">
        <v>242.28</v>
      </c>
      <c r="K3" t="e">
        <f>#REF!*J3*1000</f>
        <v>#REF!</v>
      </c>
      <c r="L3" s="61"/>
      <c r="M3" s="61" t="s">
        <v>169</v>
      </c>
      <c r="N3" s="52" t="s">
        <v>152</v>
      </c>
      <c r="O3" s="61" t="s">
        <v>169</v>
      </c>
      <c r="P3" s="52" t="s">
        <v>152</v>
      </c>
      <c r="Q3" s="6"/>
      <c r="R3" s="6"/>
    </row>
    <row r="4" spans="1:21">
      <c r="A4" s="156"/>
      <c r="B4" s="4" t="s">
        <v>49</v>
      </c>
      <c r="C4" s="15"/>
      <c r="D4" s="15"/>
      <c r="E4" s="15"/>
      <c r="F4" s="15">
        <f>(D4-E4)</f>
        <v>0</v>
      </c>
      <c r="G4" s="14" t="e">
        <f t="shared" si="0"/>
        <v>#DIV/0!</v>
      </c>
      <c r="H4" s="14" t="e">
        <f>F4/C4*100</f>
        <v>#DIV/0!</v>
      </c>
      <c r="J4">
        <v>261.91000000000003</v>
      </c>
      <c r="K4" t="e">
        <f>#REF!*J4*1000</f>
        <v>#REF!</v>
      </c>
      <c r="L4" s="122">
        <v>2111</v>
      </c>
      <c r="M4" s="121">
        <v>257</v>
      </c>
      <c r="N4" s="121">
        <v>278.38</v>
      </c>
      <c r="O4" s="123"/>
      <c r="P4" s="124"/>
      <c r="Q4" s="107">
        <f>M4+O4</f>
        <v>257</v>
      </c>
      <c r="R4" s="107">
        <f>N4+P4</f>
        <v>278.38</v>
      </c>
    </row>
    <row r="5" spans="1:21">
      <c r="A5" s="19"/>
      <c r="B5" s="19"/>
      <c r="C5" s="21">
        <f>SUM(C3:C4)</f>
        <v>534</v>
      </c>
      <c r="D5" s="21">
        <f>SUM(D3:D4)</f>
        <v>637</v>
      </c>
      <c r="E5" s="21">
        <f t="shared" ref="E5:F5" si="1">SUM(E3:E4)</f>
        <v>137.6</v>
      </c>
      <c r="F5" s="21">
        <f t="shared" si="1"/>
        <v>499.4</v>
      </c>
      <c r="G5" s="20">
        <f t="shared" si="0"/>
        <v>21.601255886970172</v>
      </c>
      <c r="H5" s="20">
        <f>F5/C5*100</f>
        <v>93.520599250936314</v>
      </c>
      <c r="J5">
        <v>242.21</v>
      </c>
      <c r="K5" t="e">
        <f>#REF!*J5*1000</f>
        <v>#REF!</v>
      </c>
      <c r="L5" s="122" t="s">
        <v>176</v>
      </c>
      <c r="M5" s="121"/>
      <c r="N5" s="121">
        <v>2.04</v>
      </c>
      <c r="O5" s="123"/>
      <c r="P5" s="124"/>
      <c r="Q5" s="107">
        <f t="shared" ref="Q5:Q17" si="2">M5+O5</f>
        <v>0</v>
      </c>
      <c r="R5" s="107">
        <f t="shared" ref="R5:R17" si="3">N5+P5</f>
        <v>2.04</v>
      </c>
    </row>
    <row r="6" spans="1:21">
      <c r="A6" s="155" t="s">
        <v>5</v>
      </c>
      <c r="B6" s="4" t="s">
        <v>51</v>
      </c>
      <c r="C6" s="129">
        <v>334</v>
      </c>
      <c r="D6" s="129">
        <v>300</v>
      </c>
      <c r="E6" s="129">
        <v>126</v>
      </c>
      <c r="F6" s="15">
        <f t="shared" ref="F6:F7" si="4">(D6-E6)</f>
        <v>174</v>
      </c>
      <c r="G6" s="14">
        <f t="shared" si="0"/>
        <v>42</v>
      </c>
      <c r="H6" s="14">
        <f t="shared" ref="H6:H21" si="5">F6/C6*100</f>
        <v>52.095808383233532</v>
      </c>
      <c r="J6">
        <v>231.37</v>
      </c>
      <c r="K6" t="e">
        <f>#REF!*J6*1000</f>
        <v>#REF!</v>
      </c>
      <c r="L6" s="122">
        <v>2121</v>
      </c>
      <c r="M6" s="121">
        <v>45</v>
      </c>
      <c r="N6" s="121">
        <v>20</v>
      </c>
      <c r="O6" s="123"/>
      <c r="P6" s="124"/>
      <c r="Q6" s="107">
        <f t="shared" si="2"/>
        <v>45</v>
      </c>
      <c r="R6" s="107">
        <f t="shared" si="3"/>
        <v>20</v>
      </c>
    </row>
    <row r="7" spans="1:21">
      <c r="A7" s="156"/>
      <c r="B7" s="4" t="s">
        <v>49</v>
      </c>
      <c r="C7" s="15">
        <v>506</v>
      </c>
      <c r="D7" s="15">
        <f>494+10</f>
        <v>504</v>
      </c>
      <c r="E7" s="15">
        <f>169+4</f>
        <v>173</v>
      </c>
      <c r="F7" s="15">
        <f t="shared" si="4"/>
        <v>331</v>
      </c>
      <c r="G7" s="14">
        <f t="shared" si="0"/>
        <v>34.325396825396822</v>
      </c>
      <c r="H7" s="14">
        <f t="shared" si="5"/>
        <v>65.415019762845844</v>
      </c>
      <c r="J7">
        <v>262.17</v>
      </c>
      <c r="K7" t="e">
        <f>#REF!*J7*1000</f>
        <v>#REF!</v>
      </c>
      <c r="L7" s="122">
        <v>2233</v>
      </c>
      <c r="M7" s="121">
        <v>88</v>
      </c>
      <c r="N7" s="121">
        <v>89</v>
      </c>
      <c r="O7" s="123"/>
      <c r="P7" s="124"/>
      <c r="Q7" s="107"/>
      <c r="R7" s="107">
        <f t="shared" si="3"/>
        <v>89</v>
      </c>
    </row>
    <row r="8" spans="1:21">
      <c r="A8" s="19"/>
      <c r="B8" s="19"/>
      <c r="C8" s="21">
        <f>SUM(C6:C7)</f>
        <v>840</v>
      </c>
      <c r="D8" s="21">
        <f>(SUM(D6:D7))</f>
        <v>804</v>
      </c>
      <c r="E8" s="21">
        <f t="shared" ref="E8:F8" si="6">(SUM(E6:E7))</f>
        <v>299</v>
      </c>
      <c r="F8" s="21">
        <f t="shared" si="6"/>
        <v>505</v>
      </c>
      <c r="G8" s="20">
        <f t="shared" si="0"/>
        <v>37.189054726368163</v>
      </c>
      <c r="H8" s="20">
        <f t="shared" si="5"/>
        <v>60.119047619047613</v>
      </c>
      <c r="J8">
        <v>237.18</v>
      </c>
      <c r="K8" t="e">
        <f>#REF!*J8*1000</f>
        <v>#REF!</v>
      </c>
      <c r="L8" s="122" t="s">
        <v>54</v>
      </c>
      <c r="M8" s="121">
        <v>59</v>
      </c>
      <c r="N8" s="121">
        <v>37</v>
      </c>
      <c r="O8" s="123"/>
      <c r="P8" s="124"/>
      <c r="Q8" s="107">
        <f t="shared" si="2"/>
        <v>59</v>
      </c>
      <c r="R8" s="107">
        <f t="shared" si="3"/>
        <v>37</v>
      </c>
    </row>
    <row r="9" spans="1:21">
      <c r="A9" s="148" t="s">
        <v>50</v>
      </c>
      <c r="B9" s="4" t="s">
        <v>51</v>
      </c>
      <c r="C9" s="129">
        <v>30</v>
      </c>
      <c r="D9" s="129">
        <v>10</v>
      </c>
      <c r="E9" s="129">
        <v>9.3000000000000007</v>
      </c>
      <c r="F9" s="15">
        <f t="shared" ref="F9:F10" si="7">(D9-E9)</f>
        <v>0.69999999999999929</v>
      </c>
      <c r="G9" s="14">
        <f t="shared" si="0"/>
        <v>93</v>
      </c>
      <c r="H9" s="14">
        <f t="shared" si="5"/>
        <v>2.3333333333333308</v>
      </c>
      <c r="L9" s="122">
        <v>2245</v>
      </c>
      <c r="M9" s="121">
        <v>9</v>
      </c>
      <c r="N9" s="121">
        <v>5</v>
      </c>
      <c r="O9" s="123"/>
      <c r="P9" s="124"/>
      <c r="Q9" s="107">
        <f t="shared" si="2"/>
        <v>9</v>
      </c>
      <c r="R9" s="107">
        <f t="shared" si="3"/>
        <v>5</v>
      </c>
      <c r="U9" s="101"/>
    </row>
    <row r="10" spans="1:21">
      <c r="A10" s="149"/>
      <c r="B10" s="4" t="s">
        <v>49</v>
      </c>
      <c r="C10" s="15">
        <v>10</v>
      </c>
      <c r="D10" s="15">
        <f>9.6+5</f>
        <v>14.6</v>
      </c>
      <c r="E10" s="15">
        <v>2.96</v>
      </c>
      <c r="F10" s="15">
        <f t="shared" si="7"/>
        <v>11.64</v>
      </c>
      <c r="G10" s="14">
        <f t="shared" si="0"/>
        <v>20.273972602739725</v>
      </c>
      <c r="H10" s="14">
        <f t="shared" si="5"/>
        <v>116.40000000000002</v>
      </c>
      <c r="L10" s="122">
        <v>2228</v>
      </c>
      <c r="M10" s="121">
        <v>10</v>
      </c>
      <c r="N10" s="121">
        <v>6</v>
      </c>
      <c r="O10" s="123"/>
      <c r="P10" s="124"/>
      <c r="Q10" s="107">
        <f t="shared" si="2"/>
        <v>10</v>
      </c>
      <c r="R10" s="107">
        <f t="shared" si="3"/>
        <v>6</v>
      </c>
    </row>
    <row r="11" spans="1:21">
      <c r="A11" s="42"/>
      <c r="B11" s="19"/>
      <c r="C11" s="21">
        <f>SUM(C9:C10)</f>
        <v>40</v>
      </c>
      <c r="D11" s="21">
        <f t="shared" ref="D11:G11" si="8">SUM(D9:D10)</f>
        <v>24.6</v>
      </c>
      <c r="E11" s="21">
        <f t="shared" si="8"/>
        <v>12.260000000000002</v>
      </c>
      <c r="F11" s="21">
        <f t="shared" si="8"/>
        <v>12.34</v>
      </c>
      <c r="G11" s="20">
        <f t="shared" si="0"/>
        <v>49.837398373983746</v>
      </c>
      <c r="H11" s="20">
        <f t="shared" si="5"/>
        <v>30.85</v>
      </c>
      <c r="L11" s="122" t="s">
        <v>52</v>
      </c>
      <c r="M11" s="121">
        <v>7</v>
      </c>
      <c r="N11" s="121">
        <v>6</v>
      </c>
      <c r="O11" s="123"/>
      <c r="P11" s="124"/>
      <c r="Q11" s="107">
        <f t="shared" si="2"/>
        <v>7</v>
      </c>
      <c r="R11" s="107">
        <f t="shared" si="3"/>
        <v>6</v>
      </c>
      <c r="U11" s="106"/>
    </row>
    <row r="12" spans="1:21">
      <c r="A12" s="150" t="s">
        <v>43</v>
      </c>
      <c r="B12" s="151"/>
      <c r="C12" s="38">
        <f>C5+C8+C11</f>
        <v>1414</v>
      </c>
      <c r="D12" s="38">
        <f t="shared" ref="D12:F12" si="9">D5+D8+D11</f>
        <v>1465.6</v>
      </c>
      <c r="E12" s="38">
        <f t="shared" si="9"/>
        <v>448.86</v>
      </c>
      <c r="F12" s="38">
        <f t="shared" si="9"/>
        <v>1016.74</v>
      </c>
      <c r="G12" s="39">
        <f t="shared" si="0"/>
        <v>30.626364628820962</v>
      </c>
      <c r="H12" s="39">
        <f>F12/C12*100</f>
        <v>71.905233380480908</v>
      </c>
      <c r="J12">
        <v>241.96</v>
      </c>
      <c r="K12" t="e">
        <f>#REF!*J12*1000</f>
        <v>#REF!</v>
      </c>
      <c r="L12" s="122">
        <v>2318</v>
      </c>
      <c r="M12" s="121">
        <v>13</v>
      </c>
      <c r="N12" s="121">
        <v>6</v>
      </c>
      <c r="O12" s="123"/>
      <c r="P12" s="124"/>
      <c r="Q12" s="107">
        <f t="shared" si="2"/>
        <v>13</v>
      </c>
      <c r="R12" s="107">
        <f t="shared" si="3"/>
        <v>6</v>
      </c>
    </row>
    <row r="13" spans="1:21">
      <c r="A13" s="155" t="s">
        <v>6</v>
      </c>
      <c r="B13" s="4" t="s">
        <v>51</v>
      </c>
      <c r="C13" s="129">
        <v>30</v>
      </c>
      <c r="D13" s="129">
        <v>10</v>
      </c>
      <c r="E13" s="129">
        <v>0</v>
      </c>
      <c r="F13" s="15">
        <f t="shared" ref="F13:F14" si="10">(D13-E13)</f>
        <v>10</v>
      </c>
      <c r="G13" s="14">
        <f t="shared" si="0"/>
        <v>0</v>
      </c>
      <c r="H13" s="14">
        <f t="shared" si="5"/>
        <v>33.333333333333329</v>
      </c>
      <c r="J13">
        <v>255.21</v>
      </c>
      <c r="K13" t="e">
        <f>#REF!*J13*1000</f>
        <v>#REF!</v>
      </c>
      <c r="L13" s="122">
        <v>2377</v>
      </c>
      <c r="M13" s="121">
        <v>5</v>
      </c>
      <c r="N13" s="121">
        <v>15</v>
      </c>
      <c r="O13" s="123"/>
      <c r="P13" s="124"/>
      <c r="Q13" s="107">
        <f t="shared" si="2"/>
        <v>5</v>
      </c>
      <c r="R13" s="107">
        <f t="shared" si="3"/>
        <v>15</v>
      </c>
    </row>
    <row r="14" spans="1:21">
      <c r="A14" s="156"/>
      <c r="B14" s="4" t="s">
        <v>49</v>
      </c>
      <c r="C14" s="15"/>
      <c r="D14" s="15">
        <v>10</v>
      </c>
      <c r="E14" s="15">
        <v>0</v>
      </c>
      <c r="F14" s="15">
        <f t="shared" si="10"/>
        <v>10</v>
      </c>
      <c r="G14" s="14">
        <f t="shared" si="0"/>
        <v>0</v>
      </c>
      <c r="H14" s="14" t="e">
        <f t="shared" si="5"/>
        <v>#DIV/0!</v>
      </c>
      <c r="J14">
        <v>276.26</v>
      </c>
      <c r="K14" t="e">
        <f>#REF!*J14*1000</f>
        <v>#REF!</v>
      </c>
      <c r="L14" s="122">
        <v>2253</v>
      </c>
      <c r="M14" s="121">
        <v>33</v>
      </c>
      <c r="N14" s="121">
        <v>19</v>
      </c>
      <c r="O14" s="123"/>
      <c r="P14" s="124"/>
      <c r="Q14" s="107">
        <f t="shared" si="2"/>
        <v>33</v>
      </c>
      <c r="R14" s="107">
        <f t="shared" si="3"/>
        <v>19</v>
      </c>
    </row>
    <row r="15" spans="1:21">
      <c r="A15" s="19"/>
      <c r="B15" s="19"/>
      <c r="C15" s="21">
        <f>SUM(C13:C14)</f>
        <v>30</v>
      </c>
      <c r="D15" s="21">
        <f>(SUM(D13:D14))</f>
        <v>20</v>
      </c>
      <c r="E15" s="21">
        <f t="shared" ref="E15:F15" si="11">(SUM(E13:E14))</f>
        <v>0</v>
      </c>
      <c r="F15" s="21">
        <f t="shared" si="11"/>
        <v>20</v>
      </c>
      <c r="G15" s="20">
        <f t="shared" si="0"/>
        <v>0</v>
      </c>
      <c r="H15" s="20">
        <f t="shared" si="5"/>
        <v>66.666666666666657</v>
      </c>
      <c r="J15">
        <v>276.26</v>
      </c>
      <c r="K15" t="e">
        <f>#REF!*J15*1000</f>
        <v>#REF!</v>
      </c>
      <c r="L15" s="122" t="s">
        <v>55</v>
      </c>
      <c r="M15" s="121">
        <v>4</v>
      </c>
      <c r="N15" s="121">
        <v>5</v>
      </c>
      <c r="O15" s="123"/>
      <c r="P15" s="124"/>
      <c r="Q15" s="107">
        <f t="shared" si="2"/>
        <v>4</v>
      </c>
      <c r="R15" s="107">
        <f t="shared" si="3"/>
        <v>5</v>
      </c>
    </row>
    <row r="16" spans="1:21">
      <c r="A16" s="155" t="s">
        <v>7</v>
      </c>
      <c r="B16" s="4" t="s">
        <v>51</v>
      </c>
      <c r="C16" s="129">
        <v>2</v>
      </c>
      <c r="D16" s="129">
        <v>1</v>
      </c>
      <c r="E16" s="129">
        <v>0</v>
      </c>
      <c r="F16" s="15">
        <f t="shared" ref="F16:F17" si="12">(D16-E16)</f>
        <v>1</v>
      </c>
      <c r="G16" s="14">
        <f t="shared" si="0"/>
        <v>0</v>
      </c>
      <c r="H16" s="14">
        <f t="shared" si="5"/>
        <v>50</v>
      </c>
      <c r="J16" s="5"/>
      <c r="K16" s="5" t="e">
        <f t="shared" ref="K16" si="13">SUM(K3:K15)</f>
        <v>#REF!</v>
      </c>
      <c r="L16" s="122" t="s">
        <v>177</v>
      </c>
      <c r="M16" s="121">
        <v>4</v>
      </c>
      <c r="N16" s="121">
        <v>5</v>
      </c>
      <c r="O16" s="123"/>
      <c r="P16" s="124"/>
      <c r="Q16" s="107">
        <f t="shared" si="2"/>
        <v>4</v>
      </c>
      <c r="R16" s="107">
        <f t="shared" si="3"/>
        <v>5</v>
      </c>
    </row>
    <row r="17" spans="1:18">
      <c r="A17" s="156"/>
      <c r="B17" s="4" t="s">
        <v>49</v>
      </c>
      <c r="C17" s="15">
        <v>7</v>
      </c>
      <c r="D17" s="15">
        <v>15</v>
      </c>
      <c r="E17" s="15">
        <v>8</v>
      </c>
      <c r="F17" s="15">
        <f t="shared" si="12"/>
        <v>7</v>
      </c>
      <c r="G17" s="14">
        <f t="shared" si="0"/>
        <v>53.333333333333336</v>
      </c>
      <c r="H17" s="14">
        <f t="shared" si="5"/>
        <v>100</v>
      </c>
      <c r="J17">
        <v>127</v>
      </c>
      <c r="K17" t="e">
        <f>#REF!*J17*1000</f>
        <v>#REF!</v>
      </c>
      <c r="L17" s="122" t="s">
        <v>53</v>
      </c>
      <c r="M17" s="121"/>
      <c r="N17" s="121">
        <v>6</v>
      </c>
      <c r="O17" s="123"/>
      <c r="P17" s="124"/>
      <c r="Q17" s="107">
        <f t="shared" si="2"/>
        <v>0</v>
      </c>
      <c r="R17" s="107">
        <f t="shared" si="3"/>
        <v>6</v>
      </c>
    </row>
    <row r="18" spans="1:18">
      <c r="A18" s="19"/>
      <c r="B18" s="19"/>
      <c r="C18" s="21">
        <f>SUM(C16:C17)</f>
        <v>9</v>
      </c>
      <c r="D18" s="21">
        <f>(SUM(D16:D17))</f>
        <v>16</v>
      </c>
      <c r="E18" s="21">
        <f t="shared" ref="E18:F18" si="14">(SUM(E16:E17))</f>
        <v>8</v>
      </c>
      <c r="F18" s="21">
        <f t="shared" si="14"/>
        <v>8</v>
      </c>
      <c r="G18" s="20">
        <f t="shared" si="0"/>
        <v>50</v>
      </c>
      <c r="H18" s="20">
        <f t="shared" si="5"/>
        <v>88.888888888888886</v>
      </c>
      <c r="J18">
        <v>158</v>
      </c>
      <c r="K18" t="e">
        <f>#REF!*J18*1000</f>
        <v>#REF!</v>
      </c>
      <c r="L18" s="53"/>
      <c r="M18" s="55">
        <f>SUM(M4:M17)</f>
        <v>534</v>
      </c>
      <c r="N18" s="55">
        <f>SUM(N4:N17)</f>
        <v>499.42</v>
      </c>
      <c r="O18" s="55">
        <f t="shared" ref="O18:R18" si="15">SUM(O4:O17)</f>
        <v>0</v>
      </c>
      <c r="P18" s="55">
        <f t="shared" si="15"/>
        <v>0</v>
      </c>
      <c r="Q18" s="55">
        <f t="shared" si="15"/>
        <v>446</v>
      </c>
      <c r="R18" s="55">
        <f t="shared" si="15"/>
        <v>499.42</v>
      </c>
    </row>
    <row r="19" spans="1:18">
      <c r="A19" s="155" t="s">
        <v>8</v>
      </c>
      <c r="B19" s="4" t="s">
        <v>51</v>
      </c>
      <c r="C19" s="129">
        <v>10</v>
      </c>
      <c r="D19" s="129">
        <v>10</v>
      </c>
      <c r="E19" s="129">
        <v>0</v>
      </c>
      <c r="F19" s="15">
        <f t="shared" ref="F19:F20" si="16">(D19-E19)</f>
        <v>10</v>
      </c>
      <c r="G19" s="14"/>
      <c r="H19" s="125">
        <f t="shared" si="5"/>
        <v>100</v>
      </c>
      <c r="I19" s="128"/>
      <c r="J19">
        <v>189</v>
      </c>
      <c r="K19" t="e">
        <f>#REF!*J19*1000</f>
        <v>#REF!</v>
      </c>
      <c r="L19" s="54">
        <v>4001</v>
      </c>
      <c r="M19" s="121"/>
      <c r="N19" s="121">
        <v>6.8</v>
      </c>
      <c r="O19" s="87">
        <v>131</v>
      </c>
      <c r="P19" s="43">
        <v>74.168000000000006</v>
      </c>
      <c r="Q19" s="107">
        <f t="shared" ref="Q19:Q21" si="17">M19+O19</f>
        <v>131</v>
      </c>
      <c r="R19" s="107">
        <f t="shared" ref="R19:R21" si="18">N19+P19</f>
        <v>80.968000000000004</v>
      </c>
    </row>
    <row r="20" spans="1:18">
      <c r="A20" s="156"/>
      <c r="B20" s="4" t="s">
        <v>49</v>
      </c>
      <c r="C20" s="15">
        <v>60</v>
      </c>
      <c r="D20" s="15">
        <v>60</v>
      </c>
      <c r="E20" s="15">
        <v>0</v>
      </c>
      <c r="F20" s="15">
        <f t="shared" si="16"/>
        <v>60</v>
      </c>
      <c r="G20" s="14">
        <f>E20/D20*100</f>
        <v>0</v>
      </c>
      <c r="H20" s="125">
        <f t="shared" si="5"/>
        <v>100</v>
      </c>
      <c r="I20" s="128"/>
      <c r="J20">
        <v>189</v>
      </c>
      <c r="K20" t="e">
        <f>#REF!*J20*1000</f>
        <v>#REF!</v>
      </c>
      <c r="L20" s="54">
        <v>4226</v>
      </c>
      <c r="M20" s="121">
        <v>60</v>
      </c>
      <c r="N20" s="121">
        <v>41.155999999999999</v>
      </c>
      <c r="O20" s="87">
        <v>225</v>
      </c>
      <c r="P20" s="43">
        <f>163.066+2</f>
        <v>165.066</v>
      </c>
      <c r="Q20" s="107">
        <f t="shared" si="17"/>
        <v>285</v>
      </c>
      <c r="R20" s="107">
        <f t="shared" si="18"/>
        <v>206.22200000000001</v>
      </c>
    </row>
    <row r="21" spans="1:18">
      <c r="A21" s="19"/>
      <c r="B21" s="19"/>
      <c r="C21" s="21">
        <f>SUM(C19:C20)</f>
        <v>70</v>
      </c>
      <c r="D21" s="21">
        <f>(SUM(D19:D20))</f>
        <v>70</v>
      </c>
      <c r="E21" s="21">
        <f t="shared" ref="E21:F21" si="19">(SUM(E19:E20))</f>
        <v>0</v>
      </c>
      <c r="F21" s="21">
        <f t="shared" si="19"/>
        <v>70</v>
      </c>
      <c r="G21" s="20">
        <f>E21/D21*100</f>
        <v>0</v>
      </c>
      <c r="H21" s="126">
        <f t="shared" si="5"/>
        <v>100</v>
      </c>
      <c r="I21" s="128"/>
      <c r="J21" s="127"/>
      <c r="K21" s="114" t="e">
        <f t="shared" ref="K21" si="20">SUM(K17:K20)</f>
        <v>#REF!</v>
      </c>
      <c r="L21" s="54">
        <v>4343</v>
      </c>
      <c r="M21" s="121">
        <v>274</v>
      </c>
      <c r="N21" s="121">
        <v>128.5</v>
      </c>
      <c r="O21" s="87">
        <v>110</v>
      </c>
      <c r="P21" s="43">
        <v>59.406999999999996</v>
      </c>
      <c r="Q21" s="107">
        <f t="shared" si="17"/>
        <v>384</v>
      </c>
      <c r="R21" s="107">
        <f t="shared" si="18"/>
        <v>187.90699999999998</v>
      </c>
    </row>
    <row r="22" spans="1:18">
      <c r="A22" s="150" t="s">
        <v>44</v>
      </c>
      <c r="B22" s="151"/>
      <c r="C22" s="38">
        <f>C15+C18+C21</f>
        <v>109</v>
      </c>
      <c r="D22" s="38">
        <f>D15+D18+D21</f>
        <v>106</v>
      </c>
      <c r="E22" s="38">
        <f>E15+E18+E21</f>
        <v>8</v>
      </c>
      <c r="F22" s="38">
        <f>F15+F18+F21</f>
        <v>98</v>
      </c>
      <c r="G22" s="39">
        <f t="shared" ref="G22" si="21">E22/D22*100</f>
        <v>7.5471698113207548</v>
      </c>
      <c r="H22" s="40"/>
      <c r="I22" s="128"/>
      <c r="J22">
        <v>68</v>
      </c>
      <c r="K22" t="e">
        <f>#REF!*J22*1000</f>
        <v>#REF!</v>
      </c>
      <c r="L22" s="23">
        <v>4272</v>
      </c>
      <c r="M22" s="56"/>
      <c r="N22" s="56"/>
      <c r="O22" s="87">
        <v>20</v>
      </c>
      <c r="P22" s="43">
        <v>9.5960000000000001</v>
      </c>
      <c r="Q22" s="107">
        <f t="shared" ref="Q22" si="22">M22+O22</f>
        <v>20</v>
      </c>
      <c r="R22" s="107">
        <f t="shared" ref="R22" si="23">N22+P22</f>
        <v>9.5960000000000001</v>
      </c>
    </row>
    <row r="23" spans="1:18">
      <c r="E23" s="152" t="s">
        <v>17</v>
      </c>
      <c r="F23" s="80" t="s">
        <v>114</v>
      </c>
      <c r="G23" s="22">
        <f>(E3+E6+E9)/(D3+D6+D9)*100</f>
        <v>28.817317845828939</v>
      </c>
      <c r="H23" s="34"/>
      <c r="I23" s="128"/>
      <c r="K23" t="e">
        <f>#REF!*J23*1000</f>
        <v>#REF!</v>
      </c>
      <c r="L23" s="54">
        <v>4325</v>
      </c>
      <c r="M23" s="121"/>
      <c r="N23" s="121">
        <v>2</v>
      </c>
      <c r="O23" s="43"/>
      <c r="P23" s="43"/>
      <c r="Q23" s="107">
        <f t="shared" ref="Q23:R26" si="24">M23+O23</f>
        <v>0</v>
      </c>
      <c r="R23" s="107">
        <f t="shared" si="24"/>
        <v>2</v>
      </c>
    </row>
    <row r="24" spans="1:18">
      <c r="E24" s="153"/>
      <c r="F24" s="81" t="s">
        <v>113</v>
      </c>
      <c r="G24" s="22">
        <f>(E4+E7+E10)/(D4+D7+D10)*100</f>
        <v>33.929811029695337</v>
      </c>
      <c r="H24" s="34"/>
      <c r="I24" s="128"/>
      <c r="K24" t="e">
        <f>#REF!*J24*1000</f>
        <v>#REF!</v>
      </c>
      <c r="L24" s="54">
        <v>4352</v>
      </c>
      <c r="M24" s="56"/>
      <c r="N24" s="56"/>
      <c r="O24" s="43">
        <v>5</v>
      </c>
      <c r="P24" s="43"/>
      <c r="Q24" s="107">
        <f t="shared" si="24"/>
        <v>5</v>
      </c>
      <c r="R24" s="107">
        <f t="shared" si="24"/>
        <v>0</v>
      </c>
    </row>
    <row r="25" spans="1:18">
      <c r="E25" s="153"/>
      <c r="F25" s="41" t="s">
        <v>23</v>
      </c>
      <c r="G25" s="27">
        <f>(E5+E8+E11)/(D5+D8+D11)*100</f>
        <v>30.626364628820962</v>
      </c>
      <c r="H25" s="35"/>
      <c r="I25" s="128"/>
      <c r="K25" s="6" t="e">
        <f>(K16+K21+K22+K23+K24)/100000</f>
        <v>#REF!</v>
      </c>
      <c r="L25" s="54" t="s">
        <v>170</v>
      </c>
      <c r="M25" s="56"/>
      <c r="N25" s="56"/>
      <c r="O25" s="87">
        <v>15</v>
      </c>
      <c r="P25" s="43">
        <f>14.228+4.256</f>
        <v>18.484000000000002</v>
      </c>
      <c r="Q25" s="107">
        <f t="shared" si="24"/>
        <v>15</v>
      </c>
      <c r="R25" s="107">
        <f t="shared" si="24"/>
        <v>18.484000000000002</v>
      </c>
    </row>
    <row r="26" spans="1:18">
      <c r="E26" s="154" t="s">
        <v>112</v>
      </c>
      <c r="F26" s="80" t="s">
        <v>114</v>
      </c>
      <c r="G26" s="22">
        <f>(E13+E16+E19)/(D13+D16+D19)*100</f>
        <v>0</v>
      </c>
      <c r="L26" s="54">
        <v>4550</v>
      </c>
      <c r="M26" s="56"/>
      <c r="N26" s="56"/>
      <c r="O26" s="87"/>
      <c r="P26" s="43">
        <v>4</v>
      </c>
      <c r="Q26" s="107">
        <f t="shared" si="24"/>
        <v>0</v>
      </c>
      <c r="R26" s="107">
        <f t="shared" si="24"/>
        <v>4</v>
      </c>
    </row>
    <row r="27" spans="1:18">
      <c r="E27" s="154"/>
      <c r="F27" s="81" t="s">
        <v>113</v>
      </c>
      <c r="G27" s="22">
        <f>(E14+E17+E20)/(D14+D17+D20)*100</f>
        <v>9.4117647058823533</v>
      </c>
      <c r="L27" s="53"/>
      <c r="M27" s="18">
        <f t="shared" ref="M27:R27" si="25">SUM(M19:M26)</f>
        <v>334</v>
      </c>
      <c r="N27" s="18">
        <f t="shared" si="25"/>
        <v>178.45599999999999</v>
      </c>
      <c r="O27" s="18">
        <f t="shared" si="25"/>
        <v>506</v>
      </c>
      <c r="P27" s="18">
        <f t="shared" si="25"/>
        <v>330.721</v>
      </c>
      <c r="Q27" s="18">
        <f t="shared" si="25"/>
        <v>840</v>
      </c>
      <c r="R27" s="18">
        <f t="shared" si="25"/>
        <v>509.17699999999996</v>
      </c>
    </row>
    <row r="28" spans="1:18">
      <c r="F28" s="41" t="s">
        <v>23</v>
      </c>
      <c r="G28" s="27">
        <f>(E15+E18+E21)/(D15+D18+D21)*100</f>
        <v>7.5471698113207548</v>
      </c>
      <c r="L28" s="54">
        <v>3699</v>
      </c>
      <c r="M28" s="56"/>
      <c r="N28" s="56"/>
      <c r="O28" s="88">
        <v>10</v>
      </c>
      <c r="P28" s="58">
        <v>9.0399999999999991</v>
      </c>
      <c r="Q28" s="107">
        <f t="shared" ref="Q28:Q30" si="26">M28+O28</f>
        <v>10</v>
      </c>
      <c r="R28" s="107">
        <f t="shared" ref="R28:R30" si="27">N28+P28</f>
        <v>9.0399999999999991</v>
      </c>
    </row>
    <row r="29" spans="1:18">
      <c r="C29"/>
      <c r="D29"/>
      <c r="J29" s="59"/>
      <c r="K29" s="59"/>
      <c r="L29" s="54">
        <v>3535</v>
      </c>
      <c r="M29" s="56">
        <v>10</v>
      </c>
      <c r="N29" s="56">
        <v>9.3000000000000007</v>
      </c>
      <c r="O29" s="58"/>
      <c r="P29" s="58">
        <v>2.64</v>
      </c>
      <c r="Q29" s="107">
        <f t="shared" si="26"/>
        <v>10</v>
      </c>
      <c r="R29" s="107">
        <f t="shared" si="27"/>
        <v>11.940000000000001</v>
      </c>
    </row>
    <row r="30" spans="1:18">
      <c r="C30"/>
      <c r="D30"/>
      <c r="J30" s="59"/>
      <c r="K30" s="59"/>
      <c r="L30" s="23">
        <v>3245</v>
      </c>
      <c r="M30" s="56"/>
      <c r="N30" s="56"/>
      <c r="O30" s="58"/>
      <c r="P30" s="58"/>
      <c r="Q30" s="107">
        <f t="shared" si="26"/>
        <v>0</v>
      </c>
      <c r="R30" s="107">
        <f t="shared" si="27"/>
        <v>0</v>
      </c>
    </row>
    <row r="31" spans="1:18">
      <c r="C31"/>
      <c r="D31"/>
      <c r="J31" s="59"/>
      <c r="K31" s="59"/>
      <c r="L31" s="53"/>
      <c r="M31" s="18">
        <f>SUM(M28:M30)</f>
        <v>10</v>
      </c>
      <c r="N31" s="18">
        <f t="shared" ref="N31:R31" si="28">SUM(N28:N30)</f>
        <v>9.3000000000000007</v>
      </c>
      <c r="O31" s="18">
        <f t="shared" si="28"/>
        <v>10</v>
      </c>
      <c r="P31" s="18">
        <f t="shared" si="28"/>
        <v>11.68</v>
      </c>
      <c r="Q31" s="18">
        <f t="shared" si="28"/>
        <v>20</v>
      </c>
      <c r="R31" s="18">
        <f t="shared" si="28"/>
        <v>20.98</v>
      </c>
    </row>
    <row r="32" spans="1:18">
      <c r="C32"/>
      <c r="D32"/>
      <c r="E32"/>
      <c r="F32"/>
      <c r="L32" s="54" t="s">
        <v>35</v>
      </c>
      <c r="M32" s="121">
        <v>10</v>
      </c>
      <c r="N32" s="121">
        <v>10</v>
      </c>
      <c r="O32" s="57">
        <v>10</v>
      </c>
      <c r="P32" s="58">
        <v>10</v>
      </c>
      <c r="Q32" s="107">
        <f t="shared" ref="Q32:Q34" si="29">M32+O32</f>
        <v>20</v>
      </c>
      <c r="R32" s="107">
        <f t="shared" ref="R32:R34" si="30">N32+P32</f>
        <v>20</v>
      </c>
    </row>
    <row r="33" spans="5:18" customFormat="1">
      <c r="E33" s="1"/>
      <c r="L33" s="54" t="s">
        <v>7</v>
      </c>
      <c r="M33" s="121">
        <v>1</v>
      </c>
      <c r="N33" s="121">
        <v>1</v>
      </c>
      <c r="O33" s="87"/>
      <c r="P33" s="58">
        <v>7</v>
      </c>
      <c r="Q33" s="107">
        <f t="shared" si="29"/>
        <v>1</v>
      </c>
      <c r="R33" s="107">
        <f t="shared" si="30"/>
        <v>8</v>
      </c>
    </row>
    <row r="34" spans="5:18" customFormat="1">
      <c r="E34" s="1"/>
      <c r="L34" s="54" t="s">
        <v>8</v>
      </c>
      <c r="M34" s="121">
        <v>10</v>
      </c>
      <c r="N34" s="121">
        <v>10</v>
      </c>
      <c r="O34" s="87">
        <v>60</v>
      </c>
      <c r="P34" s="58">
        <v>60</v>
      </c>
      <c r="Q34" s="107">
        <f t="shared" si="29"/>
        <v>70</v>
      </c>
      <c r="R34" s="107">
        <f t="shared" si="30"/>
        <v>70</v>
      </c>
    </row>
    <row r="35" spans="5:18" customFormat="1">
      <c r="E35" s="1"/>
    </row>
    <row r="36" spans="5:18" customFormat="1">
      <c r="E36" s="1"/>
    </row>
    <row r="37" spans="5:18" customFormat="1">
      <c r="E37" s="1"/>
    </row>
    <row r="38" spans="5:18" customFormat="1">
      <c r="E38" s="1"/>
    </row>
    <row r="39" spans="5:18" customFormat="1">
      <c r="E39" s="1"/>
    </row>
    <row r="40" spans="5:18" customFormat="1">
      <c r="E40" s="1"/>
    </row>
    <row r="41" spans="5:18" customFormat="1">
      <c r="E41" s="1"/>
    </row>
    <row r="42" spans="5:18" customFormat="1">
      <c r="E42" s="1"/>
    </row>
    <row r="43" spans="5:18" customFormat="1">
      <c r="E43" s="1"/>
    </row>
    <row r="44" spans="5:18" customFormat="1">
      <c r="E44" s="1"/>
    </row>
    <row r="45" spans="5:18" customFormat="1">
      <c r="E45" s="1"/>
    </row>
    <row r="46" spans="5:18" customFormat="1">
      <c r="E46" s="1"/>
    </row>
    <row r="47" spans="5:18" customFormat="1">
      <c r="E47" s="1"/>
    </row>
    <row r="48" spans="5:18" customFormat="1">
      <c r="E48" s="1"/>
    </row>
    <row r="49" spans="5:5" customFormat="1">
      <c r="E49" s="1"/>
    </row>
    <row r="50" spans="5:5" customFormat="1">
      <c r="E50" s="1"/>
    </row>
    <row r="51" spans="5:5" customFormat="1">
      <c r="E51" s="1"/>
    </row>
    <row r="52" spans="5:5" customFormat="1">
      <c r="E52" s="1"/>
    </row>
    <row r="53" spans="5:5" customFormat="1">
      <c r="E53" s="1"/>
    </row>
    <row r="54" spans="5:5" customFormat="1">
      <c r="E54" s="1"/>
    </row>
    <row r="55" spans="5:5" customFormat="1">
      <c r="E55" s="1"/>
    </row>
    <row r="56" spans="5:5" customFormat="1">
      <c r="E56" s="1"/>
    </row>
    <row r="57" spans="5:5" customFormat="1">
      <c r="E57" s="1"/>
    </row>
  </sheetData>
  <mergeCells count="13">
    <mergeCell ref="M2:N2"/>
    <mergeCell ref="O2:P2"/>
    <mergeCell ref="Q2:R2"/>
    <mergeCell ref="A3:A4"/>
    <mergeCell ref="A6:A7"/>
    <mergeCell ref="A9:A10"/>
    <mergeCell ref="A12:B12"/>
    <mergeCell ref="E23:E25"/>
    <mergeCell ref="E26:E27"/>
    <mergeCell ref="A22:B22"/>
    <mergeCell ref="A13:A14"/>
    <mergeCell ref="A16:A17"/>
    <mergeCell ref="A19:A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25"/>
  <sheetViews>
    <sheetView workbookViewId="0">
      <selection activeCell="L9" sqref="L9"/>
    </sheetView>
  </sheetViews>
  <sheetFormatPr defaultRowHeight="14.5"/>
  <cols>
    <col min="2" max="2" width="18.36328125" bestFit="1" customWidth="1"/>
    <col min="4" max="4" width="13.26953125" bestFit="1" customWidth="1"/>
    <col min="6" max="6" width="11.26953125" bestFit="1" customWidth="1"/>
    <col min="7" max="7" width="10.81640625" bestFit="1" customWidth="1"/>
    <col min="8" max="8" width="12.1796875" bestFit="1" customWidth="1"/>
  </cols>
  <sheetData>
    <row r="2" spans="2:13">
      <c r="B2" s="5"/>
      <c r="C2" s="5"/>
      <c r="D2" s="5" t="s">
        <v>122</v>
      </c>
      <c r="E2" s="5" t="s">
        <v>32</v>
      </c>
      <c r="F2" s="5" t="s">
        <v>33</v>
      </c>
      <c r="G2" s="5" t="s">
        <v>34</v>
      </c>
      <c r="H2" s="5" t="s">
        <v>41</v>
      </c>
    </row>
    <row r="3" spans="2:13">
      <c r="B3" s="15" t="s">
        <v>4</v>
      </c>
      <c r="C3" s="15" t="s">
        <v>48</v>
      </c>
      <c r="D3" s="129">
        <v>1262.7</v>
      </c>
      <c r="E3" s="129">
        <v>489.70800000000003</v>
      </c>
      <c r="F3" s="129">
        <v>273.95729999999998</v>
      </c>
      <c r="G3" s="129">
        <v>1010.73</v>
      </c>
      <c r="H3" s="14">
        <f>F3+G3</f>
        <v>1284.6873000000001</v>
      </c>
    </row>
    <row r="4" spans="2:13">
      <c r="B4" s="15"/>
      <c r="C4" s="15" t="s">
        <v>49</v>
      </c>
      <c r="D4" s="15"/>
      <c r="E4" s="15"/>
      <c r="F4" s="15"/>
      <c r="G4" s="15"/>
      <c r="H4" s="14">
        <f>F4+G4</f>
        <v>0</v>
      </c>
    </row>
    <row r="5" spans="2:13">
      <c r="B5" s="15"/>
      <c r="C5" s="15"/>
      <c r="D5" s="21">
        <f>SUM(D3:D4)</f>
        <v>1262.7</v>
      </c>
      <c r="E5" s="21">
        <f>SUM(E3:E4)</f>
        <v>489.70800000000003</v>
      </c>
      <c r="F5" s="21">
        <f t="shared" ref="F5:G5" si="0">SUM(F3:F4)</f>
        <v>273.95729999999998</v>
      </c>
      <c r="G5" s="21">
        <f t="shared" si="0"/>
        <v>1010.73</v>
      </c>
      <c r="H5" s="20">
        <f>SUM(F5:G5)</f>
        <v>1284.6873000000001</v>
      </c>
      <c r="I5" s="106">
        <f>H5/D5</f>
        <v>1.0174129246851984</v>
      </c>
      <c r="K5" s="160" t="s">
        <v>181</v>
      </c>
      <c r="L5" s="160"/>
      <c r="M5" s="160"/>
    </row>
    <row r="6" spans="2:13">
      <c r="B6" s="15" t="s">
        <v>5</v>
      </c>
      <c r="C6" s="15" t="s">
        <v>48</v>
      </c>
      <c r="D6" s="129">
        <v>357</v>
      </c>
      <c r="E6" s="129">
        <v>164.41</v>
      </c>
      <c r="F6" s="129">
        <v>65.77</v>
      </c>
      <c r="G6" s="129">
        <v>134.47999999999999</v>
      </c>
      <c r="H6" s="15">
        <f>F6+G6</f>
        <v>200.25</v>
      </c>
      <c r="K6" s="4">
        <f>D5+D8</f>
        <v>2213.04</v>
      </c>
      <c r="L6" s="83">
        <f>H5+H8</f>
        <v>2073.0673000000002</v>
      </c>
      <c r="M6" s="147">
        <f>L6/K6</f>
        <v>0.93675093988359914</v>
      </c>
    </row>
    <row r="7" spans="2:13">
      <c r="B7" s="15"/>
      <c r="C7" s="15" t="s">
        <v>49</v>
      </c>
      <c r="D7" s="15">
        <v>593.34</v>
      </c>
      <c r="E7" s="15"/>
      <c r="F7" s="15">
        <v>211.98</v>
      </c>
      <c r="G7" s="15">
        <f>357.75+18.4</f>
        <v>376.15</v>
      </c>
      <c r="H7" s="15">
        <f>F7+G7</f>
        <v>588.13</v>
      </c>
    </row>
    <row r="8" spans="2:13">
      <c r="B8" s="15"/>
      <c r="C8" s="15"/>
      <c r="D8" s="21">
        <f>SUM(D6:D7)</f>
        <v>950.34</v>
      </c>
      <c r="E8" s="21">
        <f>SUM(E6:E7)</f>
        <v>164.41</v>
      </c>
      <c r="F8" s="21">
        <f t="shared" ref="F8:G8" si="1">SUM(F6:F7)</f>
        <v>277.75</v>
      </c>
      <c r="G8" s="21">
        <f t="shared" si="1"/>
        <v>510.63</v>
      </c>
      <c r="H8" s="20">
        <f>SUM(F8:G8)</f>
        <v>788.38</v>
      </c>
      <c r="I8" s="106">
        <f>H8/D8</f>
        <v>0.82957678304606774</v>
      </c>
    </row>
    <row r="9" spans="2:13">
      <c r="B9" s="15" t="s">
        <v>35</v>
      </c>
      <c r="C9" s="15" t="s">
        <v>48</v>
      </c>
      <c r="D9" s="133">
        <v>12.372459599999997</v>
      </c>
      <c r="E9" s="133"/>
      <c r="F9" s="133"/>
      <c r="G9" s="133">
        <v>5.0876000000000001</v>
      </c>
      <c r="H9" s="90">
        <f>F9+G9</f>
        <v>5.0876000000000001</v>
      </c>
    </row>
    <row r="10" spans="2:13">
      <c r="B10" s="15"/>
      <c r="C10" s="15" t="s">
        <v>49</v>
      </c>
      <c r="D10" s="15">
        <v>7.1</v>
      </c>
      <c r="E10" s="15"/>
      <c r="F10" s="15"/>
      <c r="G10" s="15">
        <v>11.52</v>
      </c>
      <c r="H10" s="15">
        <f>F10+G10</f>
        <v>11.52</v>
      </c>
    </row>
    <row r="11" spans="2:13">
      <c r="B11" s="15"/>
      <c r="C11" s="15"/>
      <c r="D11" s="21">
        <f>SUM(D9:D10)</f>
        <v>19.472459599999997</v>
      </c>
      <c r="E11" s="21">
        <f>SUM(E9:E10)</f>
        <v>0</v>
      </c>
      <c r="F11" s="21">
        <f t="shared" ref="F11:G11" si="2">SUM(F9:F10)</f>
        <v>0</v>
      </c>
      <c r="G11" s="21">
        <f t="shared" si="2"/>
        <v>16.607599999999998</v>
      </c>
      <c r="H11" s="20">
        <f>SUM(F11:G11)</f>
        <v>16.607599999999998</v>
      </c>
    </row>
    <row r="12" spans="2:13">
      <c r="B12" s="15" t="s">
        <v>50</v>
      </c>
      <c r="C12" s="15" t="s">
        <v>48</v>
      </c>
      <c r="D12" s="129">
        <v>23.25</v>
      </c>
      <c r="E12" s="129"/>
      <c r="F12" s="129"/>
      <c r="G12" s="129"/>
      <c r="H12" s="15">
        <f>F12+G12</f>
        <v>0</v>
      </c>
    </row>
    <row r="13" spans="2:13">
      <c r="B13" s="15"/>
      <c r="C13" s="15" t="s">
        <v>49</v>
      </c>
      <c r="D13" s="15">
        <v>32.299999999999997</v>
      </c>
      <c r="E13" s="15"/>
      <c r="F13" s="15"/>
      <c r="G13" s="15">
        <f>22.8+5.95</f>
        <v>28.75</v>
      </c>
      <c r="H13" s="15">
        <f>F13+G13</f>
        <v>28.75</v>
      </c>
    </row>
    <row r="14" spans="2:13">
      <c r="B14" s="15"/>
      <c r="C14" s="15"/>
      <c r="D14" s="21">
        <f>SUM(D12:D13)</f>
        <v>55.55</v>
      </c>
      <c r="E14" s="21">
        <f>SUM(E12:E13)</f>
        <v>0</v>
      </c>
      <c r="F14" s="21">
        <f t="shared" ref="F14:G14" si="3">SUM(F12:F13)</f>
        <v>0</v>
      </c>
      <c r="G14" s="21">
        <f t="shared" si="3"/>
        <v>28.75</v>
      </c>
      <c r="H14" s="20">
        <f>SUM(F14:G14)</f>
        <v>28.75</v>
      </c>
    </row>
    <row r="15" spans="2:13">
      <c r="B15" s="15" t="s">
        <v>7</v>
      </c>
      <c r="C15" s="15" t="s">
        <v>48</v>
      </c>
      <c r="D15" s="129">
        <v>3.3</v>
      </c>
      <c r="E15" s="129"/>
      <c r="F15" s="129"/>
      <c r="G15" s="129">
        <v>3.3</v>
      </c>
      <c r="H15" s="15">
        <f>F15+G15</f>
        <v>3.3</v>
      </c>
    </row>
    <row r="16" spans="2:13">
      <c r="B16" s="15"/>
      <c r="C16" s="15" t="s">
        <v>49</v>
      </c>
      <c r="D16" s="15">
        <v>16.5</v>
      </c>
      <c r="E16" s="15"/>
      <c r="F16" s="15"/>
      <c r="G16" s="15">
        <v>12</v>
      </c>
      <c r="H16" s="15">
        <f>F16+G16</f>
        <v>12</v>
      </c>
    </row>
    <row r="17" spans="2:8">
      <c r="B17" s="15"/>
      <c r="C17" s="15"/>
      <c r="D17" s="21">
        <f>SUM(D15:D16)</f>
        <v>19.8</v>
      </c>
      <c r="E17" s="21">
        <f>SUM(E15:E16)</f>
        <v>0</v>
      </c>
      <c r="F17" s="21">
        <f t="shared" ref="F17:G17" si="4">SUM(F15:F16)</f>
        <v>0</v>
      </c>
      <c r="G17" s="21">
        <f t="shared" si="4"/>
        <v>15.3</v>
      </c>
      <c r="H17" s="20">
        <f>SUM(F17:G17)</f>
        <v>15.3</v>
      </c>
    </row>
    <row r="18" spans="2:8">
      <c r="B18" s="15" t="s">
        <v>8</v>
      </c>
      <c r="C18" s="15" t="s">
        <v>48</v>
      </c>
      <c r="D18" s="129">
        <v>5.4</v>
      </c>
      <c r="E18" s="129"/>
      <c r="F18" s="129"/>
      <c r="G18" s="129">
        <v>5.4</v>
      </c>
      <c r="H18" s="15">
        <f>F18+G18</f>
        <v>5.4</v>
      </c>
    </row>
    <row r="19" spans="2:8">
      <c r="B19" s="15"/>
      <c r="C19" s="15" t="s">
        <v>49</v>
      </c>
      <c r="D19" s="15">
        <v>32.4</v>
      </c>
      <c r="E19" s="15"/>
      <c r="F19" s="15"/>
      <c r="G19" s="15">
        <v>31</v>
      </c>
      <c r="H19" s="15">
        <f>F19+G19</f>
        <v>31</v>
      </c>
    </row>
    <row r="20" spans="2:8">
      <c r="B20" s="15"/>
      <c r="C20" s="15"/>
      <c r="D20" s="21">
        <f>SUM(D18:D19)</f>
        <v>37.799999999999997</v>
      </c>
      <c r="E20" s="21">
        <f>SUM(E18:E19)</f>
        <v>0</v>
      </c>
      <c r="F20" s="21">
        <f t="shared" ref="F20:G20" si="5">SUM(F18:F19)</f>
        <v>0</v>
      </c>
      <c r="G20" s="21">
        <f t="shared" si="5"/>
        <v>36.4</v>
      </c>
      <c r="H20" s="20">
        <f>SUM(F20:G20)</f>
        <v>36.4</v>
      </c>
    </row>
    <row r="21" spans="2:8">
      <c r="B21" s="15"/>
      <c r="C21" s="15"/>
      <c r="D21" s="15"/>
      <c r="E21" s="5">
        <f>E5+E8+E11</f>
        <v>654.11800000000005</v>
      </c>
      <c r="F21" s="17">
        <f>F5+F8+F11</f>
        <v>551.70730000000003</v>
      </c>
      <c r="G21" s="17">
        <f>G5+G8+G11</f>
        <v>1537.9676000000002</v>
      </c>
      <c r="H21" s="17">
        <f>H5+H8+H11</f>
        <v>2089.6749</v>
      </c>
    </row>
    <row r="22" spans="2:8">
      <c r="F22" s="159" t="s">
        <v>36</v>
      </c>
      <c r="G22" s="159"/>
      <c r="H22" s="31"/>
    </row>
    <row r="23" spans="2:8">
      <c r="F23" s="159" t="s">
        <v>40</v>
      </c>
      <c r="G23" s="159"/>
      <c r="H23" s="31" t="e">
        <f>H21/H22*100</f>
        <v>#DIV/0!</v>
      </c>
    </row>
    <row r="24" spans="2:8">
      <c r="C24" t="s">
        <v>48</v>
      </c>
      <c r="D24">
        <f>D18+D15+D12+D9+D6+D3</f>
        <v>1664.0224596</v>
      </c>
      <c r="E24">
        <f t="shared" ref="E24:H24" si="6">E18+E15+E12+E9+E6+E3</f>
        <v>654.11800000000005</v>
      </c>
      <c r="F24">
        <f t="shared" si="6"/>
        <v>339.72729999999996</v>
      </c>
      <c r="G24">
        <f t="shared" si="6"/>
        <v>1158.9975999999999</v>
      </c>
      <c r="H24">
        <f t="shared" si="6"/>
        <v>1498.7249000000002</v>
      </c>
    </row>
    <row r="25" spans="2:8">
      <c r="C25" t="s">
        <v>49</v>
      </c>
      <c r="D25">
        <f>D19+D16+D13+D10+D7+D4</f>
        <v>681.64</v>
      </c>
      <c r="E25">
        <f t="shared" ref="E25:H25" si="7">E19+E16+E13+E10+E7+E4</f>
        <v>0</v>
      </c>
      <c r="F25">
        <f t="shared" si="7"/>
        <v>211.98</v>
      </c>
      <c r="G25">
        <f t="shared" si="7"/>
        <v>459.41999999999996</v>
      </c>
      <c r="H25">
        <f t="shared" si="7"/>
        <v>671.4</v>
      </c>
    </row>
  </sheetData>
  <mergeCells count="3">
    <mergeCell ref="F22:G22"/>
    <mergeCell ref="F23:G23"/>
    <mergeCell ref="K5:M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8"/>
  <sheetViews>
    <sheetView topLeftCell="A17" workbookViewId="0">
      <selection activeCell="H28" sqref="H28"/>
    </sheetView>
  </sheetViews>
  <sheetFormatPr defaultRowHeight="14.5"/>
  <cols>
    <col min="1" max="1" width="13.36328125" style="1" bestFit="1" customWidth="1"/>
    <col min="2" max="3" width="9.54296875" style="1" customWidth="1"/>
    <col min="4" max="5" width="8.54296875" customWidth="1"/>
    <col min="6" max="6" width="10.81640625" customWidth="1"/>
    <col min="7" max="7" width="4.81640625" customWidth="1"/>
    <col min="8" max="8" width="13.36328125" bestFit="1" customWidth="1"/>
    <col min="9" max="9" width="12.36328125" bestFit="1" customWidth="1"/>
    <col min="10" max="10" width="8.54296875" customWidth="1"/>
    <col min="11" max="11" width="9.54296875" bestFit="1" customWidth="1"/>
    <col min="12" max="12" width="12.453125" bestFit="1" customWidth="1"/>
    <col min="13" max="13" width="5.81640625" customWidth="1"/>
    <col min="14" max="14" width="7" bestFit="1" customWidth="1"/>
    <col min="15" max="15" width="9.26953125" bestFit="1" customWidth="1"/>
    <col min="16" max="16" width="8.54296875" customWidth="1"/>
    <col min="17" max="17" width="9.7265625" customWidth="1"/>
    <col min="18" max="18" width="12.453125" customWidth="1"/>
    <col min="19" max="19" width="6.26953125" customWidth="1"/>
    <col min="20" max="20" width="11.1796875" bestFit="1" customWidth="1"/>
    <col min="21" max="21" width="11.81640625" bestFit="1" customWidth="1"/>
    <col min="22" max="22" width="8.7265625" style="3"/>
  </cols>
  <sheetData>
    <row r="1" spans="1:22">
      <c r="A1" s="4"/>
      <c r="B1" s="158" t="s">
        <v>48</v>
      </c>
      <c r="C1" s="158"/>
      <c r="D1" s="158"/>
      <c r="E1" s="158"/>
      <c r="F1" s="158"/>
      <c r="H1" s="158" t="s">
        <v>49</v>
      </c>
      <c r="I1" s="158"/>
      <c r="J1" s="158"/>
      <c r="K1" s="158"/>
      <c r="L1" s="158"/>
      <c r="M1" s="3"/>
      <c r="N1" s="161" t="s">
        <v>19</v>
      </c>
      <c r="O1" s="161"/>
      <c r="P1" s="161"/>
      <c r="Q1" s="161"/>
      <c r="R1" s="162"/>
    </row>
    <row r="2" spans="1:22">
      <c r="A2" s="4"/>
      <c r="B2" s="6" t="s">
        <v>148</v>
      </c>
      <c r="C2" s="6" t="s">
        <v>117</v>
      </c>
      <c r="D2" s="6" t="s">
        <v>149</v>
      </c>
      <c r="E2" s="6" t="s">
        <v>10</v>
      </c>
      <c r="F2" s="6" t="s">
        <v>150</v>
      </c>
      <c r="G2" s="3"/>
      <c r="H2" s="6" t="s">
        <v>116</v>
      </c>
      <c r="I2" s="6" t="s">
        <v>117</v>
      </c>
      <c r="J2" s="6" t="s">
        <v>9</v>
      </c>
      <c r="K2" s="6" t="s">
        <v>10</v>
      </c>
      <c r="L2" s="6" t="s">
        <v>11</v>
      </c>
      <c r="M2" s="3"/>
      <c r="N2" s="6" t="s">
        <v>116</v>
      </c>
      <c r="O2" s="6" t="s">
        <v>117</v>
      </c>
      <c r="P2" s="6" t="s">
        <v>9</v>
      </c>
      <c r="Q2" s="6" t="s">
        <v>10</v>
      </c>
      <c r="R2" s="6" t="s">
        <v>11</v>
      </c>
    </row>
    <row r="3" spans="1:22">
      <c r="A3" s="122">
        <v>2111</v>
      </c>
      <c r="B3" s="130">
        <v>257</v>
      </c>
      <c r="C3" s="98">
        <f>B3*E3*1000/100000</f>
        <v>655.27290000000005</v>
      </c>
      <c r="D3" s="130">
        <v>278.38</v>
      </c>
      <c r="E3" s="130">
        <v>254.97</v>
      </c>
      <c r="F3" s="91">
        <f>D3*E3*1000/100000</f>
        <v>709.78548599999999</v>
      </c>
      <c r="H3" s="4"/>
      <c r="I3" s="98">
        <f>H3*K3*1000/100000</f>
        <v>0</v>
      </c>
      <c r="J3" s="4"/>
      <c r="K3" s="83"/>
      <c r="L3" s="91">
        <f>J3*K3*1000/100000</f>
        <v>0</v>
      </c>
      <c r="N3" s="4">
        <f>B3+H3</f>
        <v>257</v>
      </c>
      <c r="O3" s="91">
        <f>C3+I3</f>
        <v>655.27290000000005</v>
      </c>
      <c r="P3" s="4">
        <f t="shared" ref="P3:P14" si="0">D3+J3</f>
        <v>278.38</v>
      </c>
      <c r="Q3" s="83">
        <f>R3/P3</f>
        <v>2.5497000000000001</v>
      </c>
      <c r="R3" s="83">
        <f t="shared" ref="R3:R14" si="1">F3+L3</f>
        <v>709.78548599999999</v>
      </c>
    </row>
    <row r="4" spans="1:22">
      <c r="A4" s="122" t="s">
        <v>176</v>
      </c>
      <c r="B4" s="130"/>
      <c r="C4" s="98">
        <f t="shared" ref="C4:C33" si="2">B4*E4*1000/100000</f>
        <v>0</v>
      </c>
      <c r="D4" s="130">
        <v>2.04</v>
      </c>
      <c r="E4" s="130">
        <v>260.95</v>
      </c>
      <c r="F4" s="91">
        <f t="shared" ref="F4:F33" si="3">D4*E4*1000/100000</f>
        <v>5.3233800000000002</v>
      </c>
      <c r="H4" s="4"/>
      <c r="I4" s="98">
        <f t="shared" ref="I4:I33" si="4">H4*K4*1000/100000</f>
        <v>0</v>
      </c>
      <c r="J4" s="4"/>
      <c r="K4" s="83"/>
      <c r="L4" s="91">
        <f t="shared" ref="L4:L33" si="5">J4*K4*1000/100000</f>
        <v>0</v>
      </c>
      <c r="N4" s="4">
        <f t="shared" ref="N4:N16" si="6">B4+H4</f>
        <v>0</v>
      </c>
      <c r="O4" s="91">
        <f t="shared" ref="O4:O16" si="7">C4+I4</f>
        <v>0</v>
      </c>
      <c r="P4" s="4">
        <f t="shared" si="0"/>
        <v>2.04</v>
      </c>
      <c r="Q4" s="83">
        <f t="shared" ref="Q4:Q17" si="8">R4/P4</f>
        <v>2.6095000000000002</v>
      </c>
      <c r="R4" s="83">
        <f t="shared" si="1"/>
        <v>5.3233800000000002</v>
      </c>
    </row>
    <row r="5" spans="1:22">
      <c r="A5" s="122">
        <v>2121</v>
      </c>
      <c r="B5" s="130">
        <v>45</v>
      </c>
      <c r="C5" s="98">
        <f t="shared" si="2"/>
        <v>115.21349999999998</v>
      </c>
      <c r="D5" s="130">
        <v>20</v>
      </c>
      <c r="E5" s="130">
        <v>256.02999999999997</v>
      </c>
      <c r="F5" s="91">
        <f t="shared" si="3"/>
        <v>51.205999999999989</v>
      </c>
      <c r="H5" s="4"/>
      <c r="I5" s="98">
        <f t="shared" si="4"/>
        <v>0</v>
      </c>
      <c r="J5" s="58"/>
      <c r="K5" s="83"/>
      <c r="L5" s="91">
        <f t="shared" si="5"/>
        <v>0</v>
      </c>
      <c r="N5" s="4">
        <f t="shared" si="6"/>
        <v>45</v>
      </c>
      <c r="O5" s="91">
        <f t="shared" si="7"/>
        <v>115.21349999999998</v>
      </c>
      <c r="P5" s="4">
        <f t="shared" si="0"/>
        <v>20</v>
      </c>
      <c r="Q5" s="83">
        <f t="shared" si="8"/>
        <v>2.5602999999999994</v>
      </c>
      <c r="R5" s="83">
        <f t="shared" si="1"/>
        <v>51.205999999999989</v>
      </c>
    </row>
    <row r="6" spans="1:22">
      <c r="A6" s="122">
        <v>2233</v>
      </c>
      <c r="B6" s="130">
        <v>88</v>
      </c>
      <c r="C6" s="98">
        <f t="shared" si="2"/>
        <v>207.108</v>
      </c>
      <c r="D6" s="130">
        <v>89</v>
      </c>
      <c r="E6" s="130">
        <v>235.35</v>
      </c>
      <c r="F6" s="91">
        <f t="shared" si="3"/>
        <v>209.46149999999997</v>
      </c>
      <c r="H6" s="4"/>
      <c r="I6" s="98">
        <f t="shared" si="4"/>
        <v>0</v>
      </c>
      <c r="J6" s="4"/>
      <c r="K6" s="83"/>
      <c r="L6" s="91">
        <f t="shared" si="5"/>
        <v>0</v>
      </c>
      <c r="N6" s="4">
        <f t="shared" si="6"/>
        <v>88</v>
      </c>
      <c r="O6" s="91">
        <f t="shared" si="7"/>
        <v>207.108</v>
      </c>
      <c r="P6" s="4">
        <f t="shared" si="0"/>
        <v>89</v>
      </c>
      <c r="Q6" s="83">
        <f t="shared" si="8"/>
        <v>2.3534999999999995</v>
      </c>
      <c r="R6" s="83">
        <f t="shared" si="1"/>
        <v>209.46149999999997</v>
      </c>
      <c r="T6" s="32" t="s">
        <v>38</v>
      </c>
      <c r="U6" s="32"/>
    </row>
    <row r="7" spans="1:22">
      <c r="A7" s="122" t="s">
        <v>54</v>
      </c>
      <c r="B7" s="130">
        <v>59</v>
      </c>
      <c r="C7" s="98">
        <f t="shared" si="2"/>
        <v>158.0728</v>
      </c>
      <c r="D7" s="130">
        <v>37</v>
      </c>
      <c r="E7" s="130">
        <v>267.92</v>
      </c>
      <c r="F7" s="91">
        <f t="shared" si="3"/>
        <v>99.130399999999995</v>
      </c>
      <c r="H7" s="4"/>
      <c r="I7" s="98">
        <f t="shared" si="4"/>
        <v>0</v>
      </c>
      <c r="J7" s="4"/>
      <c r="K7" s="83"/>
      <c r="L7" s="91">
        <f t="shared" si="5"/>
        <v>0</v>
      </c>
      <c r="N7" s="4">
        <f t="shared" si="6"/>
        <v>59</v>
      </c>
      <c r="O7" s="91">
        <f t="shared" si="7"/>
        <v>158.0728</v>
      </c>
      <c r="P7" s="4">
        <f t="shared" si="0"/>
        <v>37</v>
      </c>
      <c r="Q7" s="83">
        <f t="shared" si="8"/>
        <v>2.6791999999999998</v>
      </c>
      <c r="R7" s="83">
        <f t="shared" si="1"/>
        <v>99.130399999999995</v>
      </c>
      <c r="T7" s="32" t="s">
        <v>37</v>
      </c>
      <c r="U7" s="32"/>
    </row>
    <row r="8" spans="1:22">
      <c r="A8" s="122">
        <v>2245</v>
      </c>
      <c r="B8" s="130">
        <v>9</v>
      </c>
      <c r="C8" s="98">
        <f t="shared" si="2"/>
        <v>22.601700000000001</v>
      </c>
      <c r="D8" s="130">
        <v>5</v>
      </c>
      <c r="E8" s="130">
        <v>251.13</v>
      </c>
      <c r="F8" s="91">
        <f t="shared" si="3"/>
        <v>12.5565</v>
      </c>
      <c r="H8" s="4"/>
      <c r="I8" s="98">
        <f t="shared" si="4"/>
        <v>0</v>
      </c>
      <c r="J8" s="4"/>
      <c r="K8" s="83"/>
      <c r="L8" s="91">
        <f t="shared" si="5"/>
        <v>0</v>
      </c>
      <c r="N8" s="4">
        <f t="shared" si="6"/>
        <v>9</v>
      </c>
      <c r="O8" s="91">
        <f t="shared" si="7"/>
        <v>22.601700000000001</v>
      </c>
      <c r="P8" s="4">
        <f t="shared" si="0"/>
        <v>5</v>
      </c>
      <c r="Q8" s="83">
        <f t="shared" si="8"/>
        <v>2.5112999999999999</v>
      </c>
      <c r="R8" s="83">
        <f t="shared" si="1"/>
        <v>12.5565</v>
      </c>
      <c r="T8" s="32"/>
      <c r="U8" s="32"/>
    </row>
    <row r="9" spans="1:22">
      <c r="A9" s="122">
        <v>2228</v>
      </c>
      <c r="B9" s="130">
        <v>10</v>
      </c>
      <c r="C9" s="98">
        <f t="shared" si="2"/>
        <v>27.058999999999994</v>
      </c>
      <c r="D9" s="130">
        <v>6</v>
      </c>
      <c r="E9" s="130">
        <v>270.58999999999997</v>
      </c>
      <c r="F9" s="91">
        <f t="shared" si="3"/>
        <v>16.235399999999998</v>
      </c>
      <c r="H9" s="4"/>
      <c r="I9" s="98">
        <f t="shared" si="4"/>
        <v>0</v>
      </c>
      <c r="J9" s="4"/>
      <c r="K9" s="83"/>
      <c r="L9" s="91">
        <f t="shared" si="5"/>
        <v>0</v>
      </c>
      <c r="N9" s="4">
        <f t="shared" si="6"/>
        <v>10</v>
      </c>
      <c r="O9" s="91">
        <f t="shared" si="7"/>
        <v>27.058999999999994</v>
      </c>
      <c r="P9" s="4">
        <f t="shared" si="0"/>
        <v>6</v>
      </c>
      <c r="Q9" s="83">
        <f t="shared" si="8"/>
        <v>2.7058999999999997</v>
      </c>
      <c r="R9" s="83">
        <f t="shared" si="1"/>
        <v>16.235399999999998</v>
      </c>
      <c r="T9" s="32"/>
      <c r="U9" s="32"/>
    </row>
    <row r="10" spans="1:22">
      <c r="A10" s="122" t="s">
        <v>52</v>
      </c>
      <c r="B10" s="130">
        <v>7</v>
      </c>
      <c r="C10" s="98">
        <f t="shared" si="2"/>
        <v>18.327400000000001</v>
      </c>
      <c r="D10" s="130">
        <v>6</v>
      </c>
      <c r="E10" s="130">
        <v>261.82</v>
      </c>
      <c r="F10" s="91">
        <f t="shared" si="3"/>
        <v>15.709199999999999</v>
      </c>
      <c r="H10" s="4"/>
      <c r="I10" s="98">
        <f t="shared" si="4"/>
        <v>0</v>
      </c>
      <c r="J10" s="4"/>
      <c r="K10" s="83"/>
      <c r="L10" s="91">
        <f t="shared" si="5"/>
        <v>0</v>
      </c>
      <c r="N10" s="4">
        <f t="shared" si="6"/>
        <v>7</v>
      </c>
      <c r="O10" s="91">
        <f t="shared" si="7"/>
        <v>18.327400000000001</v>
      </c>
      <c r="P10" s="4">
        <f t="shared" si="0"/>
        <v>6</v>
      </c>
      <c r="Q10" s="83">
        <f t="shared" si="8"/>
        <v>2.6181999999999999</v>
      </c>
      <c r="R10" s="83">
        <f t="shared" si="1"/>
        <v>15.709199999999999</v>
      </c>
      <c r="T10" s="32" t="s">
        <v>39</v>
      </c>
      <c r="U10" s="33"/>
    </row>
    <row r="11" spans="1:22">
      <c r="A11" s="122">
        <v>2318</v>
      </c>
      <c r="B11" s="130">
        <v>13</v>
      </c>
      <c r="C11" s="98">
        <f t="shared" si="2"/>
        <v>35.193600000000004</v>
      </c>
      <c r="D11" s="130">
        <v>6</v>
      </c>
      <c r="E11" s="130">
        <v>270.72000000000003</v>
      </c>
      <c r="F11" s="91">
        <f t="shared" si="3"/>
        <v>16.243200000000002</v>
      </c>
      <c r="H11" s="4"/>
      <c r="I11" s="98">
        <f t="shared" si="4"/>
        <v>0</v>
      </c>
      <c r="J11" s="4"/>
      <c r="K11" s="83"/>
      <c r="L11" s="91">
        <f t="shared" si="5"/>
        <v>0</v>
      </c>
      <c r="N11" s="4">
        <f t="shared" si="6"/>
        <v>13</v>
      </c>
      <c r="O11" s="91">
        <f t="shared" si="7"/>
        <v>35.193600000000004</v>
      </c>
      <c r="P11" s="4">
        <f t="shared" si="0"/>
        <v>6</v>
      </c>
      <c r="Q11" s="83">
        <f t="shared" si="8"/>
        <v>2.7072000000000003</v>
      </c>
      <c r="R11" s="83">
        <f t="shared" si="1"/>
        <v>16.243200000000002</v>
      </c>
    </row>
    <row r="12" spans="1:22">
      <c r="A12" s="122">
        <v>2377</v>
      </c>
      <c r="B12" s="130">
        <v>5</v>
      </c>
      <c r="C12" s="98">
        <f t="shared" si="2"/>
        <v>12.7295</v>
      </c>
      <c r="D12" s="130">
        <v>15</v>
      </c>
      <c r="E12" s="130">
        <v>254.59</v>
      </c>
      <c r="F12" s="91">
        <f t="shared" si="3"/>
        <v>38.188499999999998</v>
      </c>
      <c r="H12" s="4"/>
      <c r="I12" s="98">
        <f t="shared" si="4"/>
        <v>0</v>
      </c>
      <c r="J12" s="4"/>
      <c r="K12" s="83"/>
      <c r="L12" s="91">
        <f t="shared" si="5"/>
        <v>0</v>
      </c>
      <c r="N12" s="4">
        <f t="shared" si="6"/>
        <v>5</v>
      </c>
      <c r="O12" s="91">
        <f t="shared" si="7"/>
        <v>12.7295</v>
      </c>
      <c r="P12" s="4">
        <f t="shared" si="0"/>
        <v>15</v>
      </c>
      <c r="Q12" s="83">
        <f t="shared" si="8"/>
        <v>2.5459000000000001</v>
      </c>
      <c r="R12" s="83">
        <f t="shared" si="1"/>
        <v>38.188499999999998</v>
      </c>
    </row>
    <row r="13" spans="1:22">
      <c r="A13" s="122">
        <v>2253</v>
      </c>
      <c r="B13" s="130">
        <v>33</v>
      </c>
      <c r="C13" s="98">
        <f t="shared" si="2"/>
        <v>88.459800000000001</v>
      </c>
      <c r="D13" s="130">
        <v>19</v>
      </c>
      <c r="E13" s="130">
        <v>268.06</v>
      </c>
      <c r="F13" s="91">
        <f t="shared" si="3"/>
        <v>50.931399999999996</v>
      </c>
      <c r="H13" s="4"/>
      <c r="I13" s="98">
        <f t="shared" si="4"/>
        <v>0</v>
      </c>
      <c r="J13" s="4"/>
      <c r="K13" s="83"/>
      <c r="L13" s="91">
        <f t="shared" si="5"/>
        <v>0</v>
      </c>
      <c r="N13" s="4">
        <f t="shared" si="6"/>
        <v>33</v>
      </c>
      <c r="O13" s="91">
        <f t="shared" si="7"/>
        <v>88.459800000000001</v>
      </c>
      <c r="P13" s="4">
        <f t="shared" si="0"/>
        <v>19</v>
      </c>
      <c r="Q13" s="83">
        <f t="shared" si="8"/>
        <v>2.6805999999999996</v>
      </c>
      <c r="R13" s="83">
        <f t="shared" si="1"/>
        <v>50.931399999999996</v>
      </c>
    </row>
    <row r="14" spans="1:22">
      <c r="A14" s="122" t="s">
        <v>55</v>
      </c>
      <c r="B14" s="130">
        <v>4</v>
      </c>
      <c r="C14" s="98">
        <f t="shared" si="2"/>
        <v>11.118</v>
      </c>
      <c r="D14" s="130">
        <v>5</v>
      </c>
      <c r="E14" s="130">
        <v>277.95</v>
      </c>
      <c r="F14" s="91">
        <f t="shared" si="3"/>
        <v>13.897500000000001</v>
      </c>
      <c r="H14" s="4"/>
      <c r="I14" s="98">
        <f t="shared" si="4"/>
        <v>0</v>
      </c>
      <c r="J14" s="4"/>
      <c r="K14" s="83"/>
      <c r="L14" s="91">
        <f t="shared" si="5"/>
        <v>0</v>
      </c>
      <c r="N14" s="4">
        <f t="shared" si="6"/>
        <v>4</v>
      </c>
      <c r="O14" s="91">
        <f t="shared" si="7"/>
        <v>11.118</v>
      </c>
      <c r="P14" s="4">
        <f t="shared" si="0"/>
        <v>5</v>
      </c>
      <c r="Q14" s="83">
        <f t="shared" si="8"/>
        <v>2.7795000000000001</v>
      </c>
      <c r="R14" s="83">
        <f t="shared" si="1"/>
        <v>13.897500000000001</v>
      </c>
      <c r="T14" s="8" t="s">
        <v>13</v>
      </c>
      <c r="U14" s="8" t="s">
        <v>14</v>
      </c>
      <c r="V14" s="10" t="s">
        <v>15</v>
      </c>
    </row>
    <row r="15" spans="1:22">
      <c r="A15" s="122" t="s">
        <v>177</v>
      </c>
      <c r="B15" s="130">
        <v>4</v>
      </c>
      <c r="C15" s="98">
        <f t="shared" si="2"/>
        <v>10.8004</v>
      </c>
      <c r="D15" s="130">
        <v>5</v>
      </c>
      <c r="E15" s="130">
        <v>270.01</v>
      </c>
      <c r="F15" s="91">
        <f t="shared" si="3"/>
        <v>13.500500000000001</v>
      </c>
      <c r="H15" s="4"/>
      <c r="I15" s="98">
        <f t="shared" si="4"/>
        <v>0</v>
      </c>
      <c r="J15" s="4"/>
      <c r="K15" s="4"/>
      <c r="L15" s="91">
        <f t="shared" si="5"/>
        <v>0</v>
      </c>
      <c r="M15" s="3"/>
      <c r="N15" s="4">
        <f t="shared" si="6"/>
        <v>4</v>
      </c>
      <c r="O15" s="91">
        <f t="shared" si="7"/>
        <v>10.8004</v>
      </c>
      <c r="P15" s="4">
        <f t="shared" ref="P15:P16" si="9">D15+J15</f>
        <v>5</v>
      </c>
      <c r="Q15" s="83">
        <f t="shared" si="8"/>
        <v>2.7000999999999999</v>
      </c>
      <c r="R15" s="83">
        <f t="shared" ref="R15:R16" si="10">F15+L15</f>
        <v>13.500500000000001</v>
      </c>
      <c r="T15" s="9">
        <f>F17/D17</f>
        <v>2.5282358856273275</v>
      </c>
      <c r="U15" s="9" t="e">
        <f>L17/J17</f>
        <v>#DIV/0!</v>
      </c>
      <c r="V15" s="11">
        <f>R17/P17</f>
        <v>2.5282358856273275</v>
      </c>
    </row>
    <row r="16" spans="1:22">
      <c r="A16" s="122" t="s">
        <v>53</v>
      </c>
      <c r="B16" s="130"/>
      <c r="C16" s="98">
        <f t="shared" si="2"/>
        <v>0</v>
      </c>
      <c r="D16" s="130">
        <v>6</v>
      </c>
      <c r="E16" s="130">
        <v>174.71</v>
      </c>
      <c r="F16" s="91">
        <f t="shared" si="3"/>
        <v>10.4826</v>
      </c>
      <c r="H16" s="4"/>
      <c r="I16" s="98">
        <f t="shared" si="4"/>
        <v>0</v>
      </c>
      <c r="J16" s="4"/>
      <c r="K16" s="4"/>
      <c r="L16" s="91">
        <f t="shared" si="5"/>
        <v>0</v>
      </c>
      <c r="N16" s="4">
        <f t="shared" si="6"/>
        <v>0</v>
      </c>
      <c r="O16" s="91">
        <f t="shared" si="7"/>
        <v>0</v>
      </c>
      <c r="P16" s="4">
        <f t="shared" si="9"/>
        <v>6</v>
      </c>
      <c r="Q16" s="83">
        <f t="shared" si="8"/>
        <v>1.7470999999999999</v>
      </c>
      <c r="R16" s="83">
        <f t="shared" si="10"/>
        <v>10.4826</v>
      </c>
      <c r="T16" s="158" t="s">
        <v>31</v>
      </c>
      <c r="U16" s="158"/>
      <c r="V16" s="6">
        <v>229.92</v>
      </c>
    </row>
    <row r="17" spans="1:22">
      <c r="A17" s="24"/>
      <c r="B17" s="7">
        <f t="shared" ref="B17:C17" si="11">SUM(B3:B16)</f>
        <v>534</v>
      </c>
      <c r="C17" s="7">
        <f t="shared" si="11"/>
        <v>1361.9565999999998</v>
      </c>
      <c r="D17" s="7">
        <f>SUM(D3:D16)</f>
        <v>499.42</v>
      </c>
      <c r="E17" s="7"/>
      <c r="F17" s="18">
        <f t="shared" ref="F17" si="12">SUM(F3:F16)</f>
        <v>1262.651566</v>
      </c>
      <c r="G17" s="3"/>
      <c r="H17" s="7">
        <f t="shared" ref="H17:L17" si="13">SUM(H3:H16)</f>
        <v>0</v>
      </c>
      <c r="I17" s="7">
        <f t="shared" si="13"/>
        <v>0</v>
      </c>
      <c r="J17" s="7">
        <f t="shared" si="13"/>
        <v>0</v>
      </c>
      <c r="K17" s="7"/>
      <c r="L17" s="18">
        <f t="shared" si="13"/>
        <v>0</v>
      </c>
      <c r="N17" s="7">
        <f t="shared" ref="N17:R17" si="14">SUM(N3:N16)</f>
        <v>534</v>
      </c>
      <c r="O17" s="7">
        <f t="shared" si="14"/>
        <v>1361.9565999999998</v>
      </c>
      <c r="P17" s="7">
        <f t="shared" si="14"/>
        <v>499.42</v>
      </c>
      <c r="Q17" s="85">
        <f t="shared" si="8"/>
        <v>2.5282358856273275</v>
      </c>
      <c r="R17" s="18">
        <f t="shared" si="14"/>
        <v>1262.651566</v>
      </c>
      <c r="V17" s="30">
        <f>V15-V16</f>
        <v>-227.39176411437265</v>
      </c>
    </row>
    <row r="18" spans="1:22">
      <c r="A18" s="54">
        <v>4001</v>
      </c>
      <c r="B18" s="4"/>
      <c r="C18" s="98">
        <f t="shared" si="2"/>
        <v>0</v>
      </c>
      <c r="D18" s="130">
        <v>6.8</v>
      </c>
      <c r="E18" s="130">
        <v>145.47</v>
      </c>
      <c r="F18" s="91">
        <f t="shared" si="3"/>
        <v>9.8919599999999992</v>
      </c>
      <c r="H18" s="95">
        <v>131</v>
      </c>
      <c r="I18" s="98">
        <f>H18*1000*K18/100000</f>
        <v>187.0025</v>
      </c>
      <c r="J18" s="15">
        <v>74.168000000000006</v>
      </c>
      <c r="K18" s="83">
        <v>142.75</v>
      </c>
      <c r="L18" s="91">
        <f t="shared" si="5"/>
        <v>105.87482000000001</v>
      </c>
      <c r="N18" s="4">
        <f t="shared" ref="N18:N22" si="15">B18+H18</f>
        <v>131</v>
      </c>
      <c r="O18" s="91">
        <f t="shared" ref="O18:O25" si="16">C18+I18</f>
        <v>187.0025</v>
      </c>
      <c r="P18" s="4">
        <f>D18+J18</f>
        <v>80.968000000000004</v>
      </c>
      <c r="Q18" s="83">
        <f>R18/P18</f>
        <v>1.4297843592530384</v>
      </c>
      <c r="R18" s="91">
        <f>F18+L18</f>
        <v>115.76678000000001</v>
      </c>
    </row>
    <row r="19" spans="1:22">
      <c r="A19" s="54">
        <v>4226</v>
      </c>
      <c r="B19" s="130">
        <v>60</v>
      </c>
      <c r="C19" s="98">
        <f t="shared" si="2"/>
        <v>106.54800000000002</v>
      </c>
      <c r="D19" s="130">
        <v>41.155999999999999</v>
      </c>
      <c r="E19" s="130">
        <v>177.58</v>
      </c>
      <c r="F19" s="91">
        <f t="shared" si="3"/>
        <v>73.084824800000007</v>
      </c>
      <c r="H19" s="95">
        <v>225</v>
      </c>
      <c r="I19" s="98">
        <f t="shared" ref="I19:I25" si="17">H19*1000*K19/100000</f>
        <v>398.67750000000001</v>
      </c>
      <c r="J19" s="15">
        <f>163.066+2</f>
        <v>165.066</v>
      </c>
      <c r="K19" s="83">
        <v>177.19</v>
      </c>
      <c r="L19" s="91">
        <f t="shared" si="5"/>
        <v>292.48044540000001</v>
      </c>
      <c r="N19" s="4">
        <f t="shared" si="15"/>
        <v>285</v>
      </c>
      <c r="O19" s="91">
        <f t="shared" si="16"/>
        <v>505.22550000000001</v>
      </c>
      <c r="P19" s="4">
        <f>D19+J19</f>
        <v>206.22200000000001</v>
      </c>
      <c r="Q19" s="83">
        <f>R19/P19</f>
        <v>1.7726783282094052</v>
      </c>
      <c r="R19" s="91">
        <f>F19+L19</f>
        <v>365.56527019999999</v>
      </c>
    </row>
    <row r="20" spans="1:22">
      <c r="A20" s="54">
        <v>4343</v>
      </c>
      <c r="B20" s="130">
        <v>274</v>
      </c>
      <c r="C20" s="98">
        <f t="shared" si="2"/>
        <v>630.93979999999999</v>
      </c>
      <c r="D20" s="130">
        <v>118.46040000000001</v>
      </c>
      <c r="E20" s="130">
        <v>230.27</v>
      </c>
      <c r="F20" s="91">
        <f t="shared" si="3"/>
        <v>272.77876308000003</v>
      </c>
      <c r="H20" s="95">
        <v>110</v>
      </c>
      <c r="I20" s="98">
        <f t="shared" si="17"/>
        <v>252.571</v>
      </c>
      <c r="J20" s="15">
        <v>59.406999999999996</v>
      </c>
      <c r="K20" s="83">
        <v>229.61</v>
      </c>
      <c r="L20" s="91">
        <f t="shared" si="5"/>
        <v>136.40441269999999</v>
      </c>
      <c r="M20" s="3"/>
      <c r="N20" s="4">
        <f t="shared" si="15"/>
        <v>384</v>
      </c>
      <c r="O20" s="91">
        <f t="shared" si="16"/>
        <v>883.51080000000002</v>
      </c>
      <c r="P20" s="4">
        <f>D20+J20</f>
        <v>177.8674</v>
      </c>
      <c r="Q20" s="83">
        <f>R20/P20</f>
        <v>2.3004956264048388</v>
      </c>
      <c r="R20" s="91">
        <f>F20+L20</f>
        <v>409.18317578000006</v>
      </c>
      <c r="T20" s="9">
        <f>F26/D26</f>
        <v>2.1237840997219393</v>
      </c>
      <c r="U20" s="9" t="e">
        <f>L23/J22</f>
        <v>#DIV/0!</v>
      </c>
      <c r="V20" s="11">
        <f>R26/P26</f>
        <v>1.9207349263510523</v>
      </c>
    </row>
    <row r="21" spans="1:22">
      <c r="A21" s="54">
        <v>4272</v>
      </c>
      <c r="B21" s="4"/>
      <c r="C21" s="98">
        <f t="shared" si="2"/>
        <v>0</v>
      </c>
      <c r="D21" s="130"/>
      <c r="E21" s="4"/>
      <c r="F21" s="91">
        <f t="shared" si="3"/>
        <v>0</v>
      </c>
      <c r="H21" s="95">
        <v>20</v>
      </c>
      <c r="I21" s="98">
        <f t="shared" si="17"/>
        <v>35.414000000000001</v>
      </c>
      <c r="J21" s="15">
        <v>9.5960000000000001</v>
      </c>
      <c r="K21" s="83">
        <v>177.07</v>
      </c>
      <c r="L21" s="91">
        <f t="shared" si="5"/>
        <v>16.9916372</v>
      </c>
      <c r="M21" s="3"/>
      <c r="N21" s="4">
        <f t="shared" si="15"/>
        <v>20</v>
      </c>
      <c r="O21" s="91">
        <f t="shared" si="16"/>
        <v>35.414000000000001</v>
      </c>
      <c r="P21" s="4">
        <f t="shared" ref="P21:P22" si="18">D21+J21</f>
        <v>9.5960000000000001</v>
      </c>
      <c r="Q21" s="83">
        <f t="shared" ref="Q21:Q22" si="19">R21/P21</f>
        <v>1.7706999999999999</v>
      </c>
      <c r="R21" s="91">
        <f t="shared" ref="R21:R23" si="20">F21+L21</f>
        <v>16.9916372</v>
      </c>
      <c r="T21" s="9"/>
      <c r="U21" s="9"/>
      <c r="V21" s="11"/>
    </row>
    <row r="22" spans="1:22">
      <c r="A22" s="54">
        <v>4325</v>
      </c>
      <c r="B22" s="4"/>
      <c r="C22" s="98">
        <f t="shared" si="2"/>
        <v>0</v>
      </c>
      <c r="D22" s="130">
        <v>2.036</v>
      </c>
      <c r="E22" s="130">
        <v>98.28</v>
      </c>
      <c r="F22" s="91">
        <f t="shared" si="3"/>
        <v>2.0009808000000002</v>
      </c>
      <c r="H22" s="15"/>
      <c r="I22" s="98">
        <f t="shared" si="17"/>
        <v>0</v>
      </c>
      <c r="J22" s="15"/>
      <c r="K22" s="83"/>
      <c r="L22" s="91">
        <f>J21*K22*1000/100000</f>
        <v>0</v>
      </c>
      <c r="N22" s="4">
        <f t="shared" si="15"/>
        <v>0</v>
      </c>
      <c r="O22" s="91">
        <f t="shared" si="16"/>
        <v>0</v>
      </c>
      <c r="P22" s="4">
        <f t="shared" si="18"/>
        <v>2.036</v>
      </c>
      <c r="Q22" s="83">
        <f t="shared" si="19"/>
        <v>0.98280000000000012</v>
      </c>
      <c r="R22" s="91">
        <f t="shared" si="20"/>
        <v>2.0009808000000002</v>
      </c>
      <c r="T22" s="158" t="s">
        <v>31</v>
      </c>
      <c r="U22" s="158"/>
      <c r="V22" s="6">
        <v>159.06</v>
      </c>
    </row>
    <row r="23" spans="1:22">
      <c r="A23" s="54">
        <v>4352</v>
      </c>
      <c r="B23" s="4"/>
      <c r="C23" s="98">
        <f t="shared" si="2"/>
        <v>0</v>
      </c>
      <c r="D23" s="4"/>
      <c r="E23" s="4"/>
      <c r="F23" s="91">
        <f t="shared" si="3"/>
        <v>0</v>
      </c>
      <c r="G23" s="3"/>
      <c r="H23" s="15">
        <v>5</v>
      </c>
      <c r="I23" s="98">
        <f t="shared" si="17"/>
        <v>11.25</v>
      </c>
      <c r="J23" s="15"/>
      <c r="K23" s="82">
        <v>225</v>
      </c>
      <c r="L23" s="91">
        <f>J22*K23*1000/100000</f>
        <v>0</v>
      </c>
      <c r="N23" s="4">
        <f>B23+H22</f>
        <v>0</v>
      </c>
      <c r="O23" s="91">
        <f t="shared" si="16"/>
        <v>11.25</v>
      </c>
      <c r="P23" s="4">
        <f>D23+J22</f>
        <v>0</v>
      </c>
      <c r="Q23" s="83" t="e">
        <f t="shared" ref="Q23:Q26" si="21">R23/P23</f>
        <v>#DIV/0!</v>
      </c>
      <c r="R23" s="91">
        <f t="shared" si="20"/>
        <v>0</v>
      </c>
      <c r="V23" s="30">
        <f>V20-V22</f>
        <v>-157.13926507364894</v>
      </c>
    </row>
    <row r="24" spans="1:22">
      <c r="A24" s="54">
        <v>4307</v>
      </c>
      <c r="B24" s="4"/>
      <c r="C24" s="98">
        <f t="shared" si="2"/>
        <v>0</v>
      </c>
      <c r="D24" s="4"/>
      <c r="E24" s="4"/>
      <c r="F24" s="91">
        <f t="shared" si="3"/>
        <v>0</v>
      </c>
      <c r="H24" s="95">
        <v>15</v>
      </c>
      <c r="I24" s="98">
        <f t="shared" si="17"/>
        <v>18.022500000000001</v>
      </c>
      <c r="J24" s="15">
        <f>14.228+4.256</f>
        <v>18.484000000000002</v>
      </c>
      <c r="K24" s="83">
        <v>120.15</v>
      </c>
      <c r="L24" s="91">
        <f>J23*K24*1000/100000</f>
        <v>0</v>
      </c>
      <c r="M24" s="3"/>
      <c r="N24" s="4">
        <f>B24+H23</f>
        <v>5</v>
      </c>
      <c r="O24" s="91">
        <f t="shared" si="16"/>
        <v>18.022500000000001</v>
      </c>
      <c r="P24" s="4">
        <f>D24+J23</f>
        <v>0</v>
      </c>
      <c r="Q24" s="83" t="e">
        <f t="shared" si="21"/>
        <v>#DIV/0!</v>
      </c>
      <c r="R24" s="91">
        <f t="shared" ref="R24:R33" si="22">F24+L24</f>
        <v>0</v>
      </c>
      <c r="T24" s="9">
        <f>F33/D33</f>
        <v>0.54</v>
      </c>
      <c r="U24" s="9">
        <f>L26/J25</f>
        <v>148.33507882500001</v>
      </c>
      <c r="V24" s="11">
        <f>R30/P30</f>
        <v>2.652292263610315</v>
      </c>
    </row>
    <row r="25" spans="1:22">
      <c r="A25" s="54">
        <v>4550</v>
      </c>
      <c r="B25" s="4"/>
      <c r="C25" s="98">
        <f t="shared" si="2"/>
        <v>0</v>
      </c>
      <c r="D25" s="4"/>
      <c r="E25" s="4"/>
      <c r="F25" s="91">
        <f t="shared" si="3"/>
        <v>0</v>
      </c>
      <c r="H25" s="4"/>
      <c r="I25" s="98">
        <f t="shared" si="17"/>
        <v>0</v>
      </c>
      <c r="J25" s="15">
        <v>4</v>
      </c>
      <c r="K25" s="83">
        <v>225</v>
      </c>
      <c r="L25" s="91">
        <f>J24*K25*1000/100000</f>
        <v>41.589000000000006</v>
      </c>
      <c r="M25" s="3"/>
      <c r="N25" s="4">
        <f>B25+H24</f>
        <v>15</v>
      </c>
      <c r="O25" s="91">
        <f t="shared" si="16"/>
        <v>0</v>
      </c>
      <c r="P25" s="4">
        <f>D25+J24</f>
        <v>18.484000000000002</v>
      </c>
      <c r="Q25" s="83">
        <f t="shared" si="21"/>
        <v>2.25</v>
      </c>
      <c r="R25" s="91">
        <f t="shared" si="22"/>
        <v>41.589000000000006</v>
      </c>
      <c r="T25" s="9" t="e">
        <f>#REF!/#REF!</f>
        <v>#REF!</v>
      </c>
      <c r="U25" s="9">
        <f>L27/J27</f>
        <v>2.9130000000000007</v>
      </c>
      <c r="V25" s="11">
        <f>R31/P31</f>
        <v>0.73331549295774645</v>
      </c>
    </row>
    <row r="26" spans="1:22">
      <c r="A26" s="24"/>
      <c r="B26" s="7">
        <f t="shared" ref="B26:C26" si="23">SUM(B18:B25)</f>
        <v>334</v>
      </c>
      <c r="C26" s="7">
        <f t="shared" si="23"/>
        <v>737.48779999999999</v>
      </c>
      <c r="D26" s="7">
        <f>SUM(D18:D25)</f>
        <v>168.45240000000001</v>
      </c>
      <c r="E26" s="7"/>
      <c r="F26" s="18">
        <f>SUM(F18:F25)</f>
        <v>357.75652868000003</v>
      </c>
      <c r="G26" s="3"/>
      <c r="H26" s="7">
        <f>SUM(H18:H25)</f>
        <v>506</v>
      </c>
      <c r="I26" s="18">
        <f t="shared" ref="I26:J26" si="24">SUM(I18:I25)</f>
        <v>902.93750000000011</v>
      </c>
      <c r="J26" s="18">
        <f t="shared" si="24"/>
        <v>330.721</v>
      </c>
      <c r="K26" s="18"/>
      <c r="L26" s="85">
        <f>SUM(L18:L25)</f>
        <v>593.34031530000004</v>
      </c>
      <c r="M26" s="18">
        <f>SUM(M18:M25)</f>
        <v>0</v>
      </c>
      <c r="N26" s="7">
        <f t="shared" ref="N26:O26" si="25">SUM(N18:N25)</f>
        <v>840</v>
      </c>
      <c r="O26" s="7">
        <f t="shared" si="25"/>
        <v>1640.4253000000001</v>
      </c>
      <c r="P26" s="7">
        <f>SUM(P18:P25)</f>
        <v>495.17340000000002</v>
      </c>
      <c r="Q26" s="85">
        <f t="shared" si="21"/>
        <v>1.9207349263510523</v>
      </c>
      <c r="R26" s="18">
        <f>SUM(R18:R25)</f>
        <v>951.09684398000013</v>
      </c>
      <c r="T26" s="9"/>
      <c r="U26" s="9">
        <f>L28/J28</f>
        <v>2.2999999999999998</v>
      </c>
      <c r="V26" s="11">
        <f>R32/P32</f>
        <v>2.3734939759036142</v>
      </c>
    </row>
    <row r="27" spans="1:22">
      <c r="A27" s="54">
        <v>3699</v>
      </c>
      <c r="B27" s="54"/>
      <c r="C27" s="98">
        <f t="shared" si="2"/>
        <v>0</v>
      </c>
      <c r="D27" s="4"/>
      <c r="E27" s="4"/>
      <c r="F27" s="91">
        <f t="shared" si="3"/>
        <v>0</v>
      </c>
      <c r="H27" s="4">
        <v>10</v>
      </c>
      <c r="I27" s="98">
        <f t="shared" si="4"/>
        <v>29.13</v>
      </c>
      <c r="J27" s="4">
        <v>9</v>
      </c>
      <c r="K27" s="4">
        <v>291.3</v>
      </c>
      <c r="L27" s="91">
        <f t="shared" si="5"/>
        <v>26.217000000000006</v>
      </c>
      <c r="M27" s="84"/>
      <c r="N27" s="4">
        <f t="shared" ref="N27:N29" si="26">B27+H27</f>
        <v>10</v>
      </c>
      <c r="O27" s="91">
        <f t="shared" ref="O27:O29" si="27">C27+I27</f>
        <v>29.13</v>
      </c>
      <c r="P27" s="4">
        <f t="shared" ref="P27" si="28">D27+J27</f>
        <v>9</v>
      </c>
      <c r="Q27" s="83">
        <f t="shared" ref="Q27" si="29">R27/P27</f>
        <v>2.9130000000000007</v>
      </c>
      <c r="R27" s="91">
        <f t="shared" si="22"/>
        <v>26.217000000000006</v>
      </c>
    </row>
    <row r="28" spans="1:22">
      <c r="A28" s="54">
        <v>3535</v>
      </c>
      <c r="B28" s="54">
        <v>10</v>
      </c>
      <c r="C28" s="98">
        <f t="shared" si="2"/>
        <v>25</v>
      </c>
      <c r="D28" s="4">
        <v>9.3000000000000007</v>
      </c>
      <c r="E28" s="4">
        <v>250</v>
      </c>
      <c r="F28" s="91">
        <f t="shared" si="3"/>
        <v>23.25</v>
      </c>
      <c r="H28" s="4">
        <v>20</v>
      </c>
      <c r="I28" s="98">
        <f t="shared" si="4"/>
        <v>46</v>
      </c>
      <c r="J28" s="4">
        <v>2.64</v>
      </c>
      <c r="K28" s="4">
        <v>230</v>
      </c>
      <c r="L28" s="91">
        <f t="shared" si="5"/>
        <v>6.0720000000000001</v>
      </c>
      <c r="N28" s="4">
        <f t="shared" si="26"/>
        <v>30</v>
      </c>
      <c r="O28" s="91">
        <f t="shared" si="27"/>
        <v>71</v>
      </c>
      <c r="P28" s="4">
        <f t="shared" ref="P28:P29" si="30">D28+J28</f>
        <v>11.940000000000001</v>
      </c>
      <c r="Q28" s="83">
        <f t="shared" ref="Q28:Q33" si="31">R28/P28</f>
        <v>2.4557788944723615</v>
      </c>
      <c r="R28" s="91">
        <f t="shared" si="22"/>
        <v>29.321999999999999</v>
      </c>
    </row>
    <row r="29" spans="1:22">
      <c r="A29" s="23">
        <v>3245</v>
      </c>
      <c r="B29" s="23"/>
      <c r="C29" s="98">
        <f t="shared" si="2"/>
        <v>0</v>
      </c>
      <c r="D29" s="4"/>
      <c r="E29" s="4"/>
      <c r="F29" s="91">
        <f t="shared" si="3"/>
        <v>0</v>
      </c>
      <c r="H29" s="4"/>
      <c r="I29" s="98">
        <f t="shared" si="4"/>
        <v>0</v>
      </c>
      <c r="J29" s="4"/>
      <c r="K29" s="4"/>
      <c r="L29" s="91">
        <f t="shared" si="5"/>
        <v>0</v>
      </c>
      <c r="N29" s="4">
        <f t="shared" si="26"/>
        <v>0</v>
      </c>
      <c r="O29" s="91">
        <f t="shared" si="27"/>
        <v>0</v>
      </c>
      <c r="P29" s="4">
        <f t="shared" si="30"/>
        <v>0</v>
      </c>
      <c r="Q29" s="83" t="e">
        <f t="shared" si="31"/>
        <v>#DIV/0!</v>
      </c>
      <c r="R29" s="91">
        <f t="shared" si="22"/>
        <v>0</v>
      </c>
    </row>
    <row r="30" spans="1:22">
      <c r="A30" s="24"/>
      <c r="B30" s="24"/>
      <c r="C30" s="7">
        <f>SUM(C27:C29)</f>
        <v>25</v>
      </c>
      <c r="D30" s="7">
        <f>SUM(D27:D29)</f>
        <v>9.3000000000000007</v>
      </c>
      <c r="E30" s="7"/>
      <c r="F30" s="18">
        <f>SUM(F27:F29)</f>
        <v>23.25</v>
      </c>
      <c r="H30" s="7">
        <f t="shared" ref="H30:I30" si="32">SUM(H27:H29)</f>
        <v>30</v>
      </c>
      <c r="I30" s="7">
        <f t="shared" si="32"/>
        <v>75.13</v>
      </c>
      <c r="J30" s="7">
        <f>SUM(J27:J29)</f>
        <v>11.64</v>
      </c>
      <c r="K30" s="86"/>
      <c r="L30" s="18">
        <f>SUM(L27:L29)</f>
        <v>32.289000000000009</v>
      </c>
      <c r="N30" s="7">
        <f t="shared" ref="N30:O30" si="33">SUM(N27:N29)</f>
        <v>40</v>
      </c>
      <c r="O30" s="7">
        <f t="shared" si="33"/>
        <v>100.13</v>
      </c>
      <c r="P30" s="7">
        <f>SUM(P27:P29)</f>
        <v>20.94</v>
      </c>
      <c r="Q30" s="85">
        <f>R30/P30</f>
        <v>2.652292263610315</v>
      </c>
      <c r="R30" s="18">
        <f>SUM(R27:R29)</f>
        <v>55.539000000000001</v>
      </c>
    </row>
    <row r="31" spans="1:22">
      <c r="A31" s="54" t="s">
        <v>35</v>
      </c>
      <c r="B31" s="130">
        <v>20</v>
      </c>
      <c r="C31" s="98">
        <f t="shared" si="2"/>
        <v>14.948</v>
      </c>
      <c r="D31" s="130">
        <v>16.553999999999998</v>
      </c>
      <c r="E31" s="130">
        <v>74.739999999999995</v>
      </c>
      <c r="F31" s="91">
        <f t="shared" si="3"/>
        <v>12.372459599999997</v>
      </c>
      <c r="H31" s="4">
        <v>10</v>
      </c>
      <c r="I31" s="98">
        <f t="shared" si="4"/>
        <v>7.1</v>
      </c>
      <c r="J31" s="58">
        <v>10</v>
      </c>
      <c r="K31" s="4">
        <v>71</v>
      </c>
      <c r="L31" s="91">
        <f t="shared" si="5"/>
        <v>7.1</v>
      </c>
      <c r="N31" s="4">
        <f t="shared" ref="N31:N33" si="34">B31+H31</f>
        <v>30</v>
      </c>
      <c r="O31" s="91">
        <f t="shared" ref="O31:P33" si="35">C31+I31</f>
        <v>22.048000000000002</v>
      </c>
      <c r="P31" s="4">
        <f t="shared" si="35"/>
        <v>26.553999999999998</v>
      </c>
      <c r="Q31" s="83">
        <f t="shared" si="31"/>
        <v>0.73331549295774645</v>
      </c>
      <c r="R31" s="91">
        <f t="shared" si="22"/>
        <v>19.472459599999997</v>
      </c>
    </row>
    <row r="32" spans="1:22">
      <c r="A32" s="54" t="s">
        <v>7</v>
      </c>
      <c r="B32" s="130">
        <v>3</v>
      </c>
      <c r="C32" s="98">
        <f t="shared" si="2"/>
        <v>7.5</v>
      </c>
      <c r="D32" s="130">
        <v>1.3</v>
      </c>
      <c r="E32" s="130">
        <v>250</v>
      </c>
      <c r="F32" s="91">
        <f t="shared" si="3"/>
        <v>3.25</v>
      </c>
      <c r="H32" s="4">
        <v>6</v>
      </c>
      <c r="I32" s="98">
        <f t="shared" si="4"/>
        <v>14.1</v>
      </c>
      <c r="J32" s="58">
        <v>7</v>
      </c>
      <c r="K32" s="4">
        <v>235</v>
      </c>
      <c r="L32" s="91">
        <f t="shared" si="5"/>
        <v>16.45</v>
      </c>
      <c r="N32" s="4">
        <f t="shared" si="34"/>
        <v>9</v>
      </c>
      <c r="O32" s="91">
        <f t="shared" si="35"/>
        <v>21.6</v>
      </c>
      <c r="P32" s="4">
        <f t="shared" si="35"/>
        <v>8.3000000000000007</v>
      </c>
      <c r="Q32" s="83">
        <f t="shared" si="31"/>
        <v>2.3734939759036142</v>
      </c>
      <c r="R32" s="91">
        <f t="shared" si="22"/>
        <v>19.7</v>
      </c>
    </row>
    <row r="33" spans="1:18">
      <c r="A33" s="54" t="s">
        <v>8</v>
      </c>
      <c r="B33" s="130">
        <v>10</v>
      </c>
      <c r="C33" s="98">
        <f t="shared" si="2"/>
        <v>5.4</v>
      </c>
      <c r="D33" s="131">
        <v>10</v>
      </c>
      <c r="E33" s="131">
        <v>54</v>
      </c>
      <c r="F33" s="91">
        <f t="shared" si="3"/>
        <v>5.4</v>
      </c>
      <c r="H33" s="4">
        <v>60</v>
      </c>
      <c r="I33" s="98">
        <f t="shared" si="4"/>
        <v>32.4</v>
      </c>
      <c r="J33" s="58">
        <v>60</v>
      </c>
      <c r="K33" s="4">
        <v>54</v>
      </c>
      <c r="L33" s="91">
        <f t="shared" si="5"/>
        <v>32.4</v>
      </c>
      <c r="N33" s="4">
        <f t="shared" si="34"/>
        <v>70</v>
      </c>
      <c r="O33" s="91">
        <f t="shared" si="35"/>
        <v>37.799999999999997</v>
      </c>
      <c r="P33" s="4">
        <f t="shared" si="35"/>
        <v>70</v>
      </c>
      <c r="Q33" s="83">
        <f t="shared" si="31"/>
        <v>0.53999999999999992</v>
      </c>
      <c r="R33" s="91">
        <f t="shared" si="22"/>
        <v>37.799999999999997</v>
      </c>
    </row>
    <row r="34" spans="1:18">
      <c r="C34" s="92">
        <f>C33+C32+C31+C30+C26+C17</f>
        <v>2152.2923999999998</v>
      </c>
      <c r="F34" s="92">
        <f>F33+F32+F31+F30+F26+F17</f>
        <v>1664.68055428</v>
      </c>
      <c r="I34" s="92">
        <f>I33+I32+I31+I30+I26+I17</f>
        <v>1031.6675</v>
      </c>
      <c r="L34" s="92">
        <f>L33+L32+L31+L30+L26+L17</f>
        <v>681.57931530000008</v>
      </c>
      <c r="O34" s="92">
        <f>O33+O32+O31+O30+O26+O17</f>
        <v>3183.9598999999998</v>
      </c>
      <c r="R34" s="92">
        <f>R33+R32+R31+R30+R26+R17</f>
        <v>2346.2598695800002</v>
      </c>
    </row>
    <row r="35" spans="1:18">
      <c r="F35" s="106">
        <f>F34/C34</f>
        <v>0.77344535262959635</v>
      </c>
      <c r="L35" s="106">
        <f>L34/I34</f>
        <v>0.66065793029246345</v>
      </c>
      <c r="R35" s="106">
        <f>R34/O34</f>
        <v>0.73689994323735053</v>
      </c>
    </row>
    <row r="36" spans="1:18">
      <c r="O36" s="52" t="s">
        <v>117</v>
      </c>
      <c r="P36" s="100">
        <f>C34+I34</f>
        <v>3183.9598999999998</v>
      </c>
    </row>
    <row r="37" spans="1:18">
      <c r="A37" s="24" t="s">
        <v>159</v>
      </c>
      <c r="B37" s="24"/>
      <c r="H37" s="24" t="s">
        <v>159</v>
      </c>
      <c r="I37" s="24"/>
      <c r="O37" s="52" t="s">
        <v>118</v>
      </c>
      <c r="P37" s="100">
        <f>F34+L34</f>
        <v>2346.2598695800002</v>
      </c>
    </row>
    <row r="38" spans="1:18">
      <c r="O38" s="52"/>
      <c r="P38" s="6">
        <f>P37/P36*100</f>
        <v>73.68999432373505</v>
      </c>
    </row>
  </sheetData>
  <mergeCells count="5">
    <mergeCell ref="T16:U16"/>
    <mergeCell ref="T22:U22"/>
    <mergeCell ref="B1:F1"/>
    <mergeCell ref="H1:L1"/>
    <mergeCell ref="N1:R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36"/>
  <sheetViews>
    <sheetView topLeftCell="A8" zoomScaleNormal="100" workbookViewId="0">
      <selection activeCell="W9" sqref="W9"/>
    </sheetView>
  </sheetViews>
  <sheetFormatPr defaultRowHeight="14.5"/>
  <cols>
    <col min="1" max="1" width="9.36328125" bestFit="1" customWidth="1"/>
    <col min="2" max="2" width="13.90625" bestFit="1" customWidth="1"/>
    <col min="3" max="4" width="7.90625" style="2" customWidth="1"/>
    <col min="5" max="5" width="7.90625" customWidth="1"/>
    <col min="6" max="7" width="7.26953125" style="2" customWidth="1"/>
    <col min="8" max="8" width="7.54296875" bestFit="1" customWidth="1"/>
    <col min="9" max="11" width="7.81640625" style="2" bestFit="1" customWidth="1"/>
    <col min="12" max="12" width="4.81640625" customWidth="1"/>
    <col min="13" max="13" width="9.36328125" bestFit="1" customWidth="1"/>
    <col min="14" max="14" width="13.90625" bestFit="1" customWidth="1"/>
    <col min="15" max="16" width="9.1796875" style="2"/>
    <col min="17" max="17" width="10" customWidth="1"/>
    <col min="18" max="19" width="9.1796875" style="2"/>
    <col min="20" max="21" width="11.54296875" customWidth="1"/>
    <col min="22" max="23" width="10.54296875" customWidth="1"/>
    <col min="24" max="24" width="6.7265625" customWidth="1"/>
  </cols>
  <sheetData>
    <row r="1" spans="1:53">
      <c r="A1" s="158" t="s">
        <v>48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M1" s="161" t="s">
        <v>49</v>
      </c>
      <c r="N1" s="161"/>
      <c r="O1" s="161"/>
      <c r="P1" s="161"/>
      <c r="Q1" s="161"/>
      <c r="R1" s="161"/>
      <c r="S1" s="161"/>
      <c r="T1" s="161"/>
      <c r="U1" s="161"/>
      <c r="V1" s="161"/>
      <c r="W1" s="161"/>
    </row>
    <row r="2" spans="1:53">
      <c r="I2" s="164" t="s">
        <v>22</v>
      </c>
      <c r="J2" s="164"/>
      <c r="K2" s="164"/>
      <c r="U2" s="158" t="s">
        <v>22</v>
      </c>
      <c r="V2" s="158"/>
      <c r="W2" s="158"/>
      <c r="X2" s="25"/>
      <c r="Y2" s="179" t="s">
        <v>47</v>
      </c>
      <c r="Z2" s="180"/>
      <c r="AA2" s="180"/>
      <c r="AB2" s="181"/>
      <c r="AJ2" s="177" t="s">
        <v>184</v>
      </c>
      <c r="AK2" s="177"/>
      <c r="AL2" s="177"/>
      <c r="AM2" s="177"/>
      <c r="AN2" s="177"/>
      <c r="AO2" s="177"/>
      <c r="AP2" s="178" t="s">
        <v>183</v>
      </c>
      <c r="AQ2" s="178"/>
      <c r="AR2" s="178"/>
      <c r="AS2" s="178"/>
      <c r="AT2" s="178"/>
      <c r="AU2" s="178"/>
      <c r="AV2" s="177" t="s">
        <v>182</v>
      </c>
      <c r="AW2" s="177"/>
      <c r="AX2" s="177"/>
      <c r="AY2" s="177"/>
      <c r="AZ2" s="177"/>
      <c r="BA2" s="177"/>
    </row>
    <row r="3" spans="1:53" ht="29">
      <c r="A3" s="12" t="s">
        <v>16</v>
      </c>
      <c r="B3" s="12" t="s">
        <v>17</v>
      </c>
      <c r="C3" s="13" t="s">
        <v>56</v>
      </c>
      <c r="D3" s="13" t="s">
        <v>88</v>
      </c>
      <c r="E3" s="13" t="s">
        <v>154</v>
      </c>
      <c r="F3" s="13" t="s">
        <v>151</v>
      </c>
      <c r="G3" s="13" t="s">
        <v>152</v>
      </c>
      <c r="H3" s="13" t="s">
        <v>154</v>
      </c>
      <c r="I3" s="13" t="s">
        <v>21</v>
      </c>
      <c r="J3" s="13" t="s">
        <v>57</v>
      </c>
      <c r="K3" s="13" t="s">
        <v>153</v>
      </c>
      <c r="M3" s="12" t="s">
        <v>16</v>
      </c>
      <c r="N3" s="12" t="s">
        <v>17</v>
      </c>
      <c r="O3" s="13" t="s">
        <v>56</v>
      </c>
      <c r="P3" s="13" t="s">
        <v>88</v>
      </c>
      <c r="Q3" s="13" t="s">
        <v>154</v>
      </c>
      <c r="R3" s="13" t="s">
        <v>151</v>
      </c>
      <c r="S3" s="13" t="s">
        <v>152</v>
      </c>
      <c r="T3" s="13" t="s">
        <v>154</v>
      </c>
      <c r="U3" s="13" t="s">
        <v>21</v>
      </c>
      <c r="V3" s="13" t="s">
        <v>57</v>
      </c>
      <c r="W3" s="13" t="s">
        <v>153</v>
      </c>
      <c r="X3" s="37"/>
      <c r="Y3" s="13" t="s">
        <v>17</v>
      </c>
      <c r="Z3" s="13" t="s">
        <v>46</v>
      </c>
      <c r="AA3" s="13" t="s">
        <v>58</v>
      </c>
      <c r="AB3" s="13" t="s">
        <v>59</v>
      </c>
      <c r="AH3" s="12" t="s">
        <v>16</v>
      </c>
      <c r="AI3" s="12" t="s">
        <v>17</v>
      </c>
      <c r="AJ3" s="13" t="s">
        <v>56</v>
      </c>
      <c r="AK3" s="13" t="s">
        <v>88</v>
      </c>
      <c r="AL3" s="13" t="s">
        <v>154</v>
      </c>
      <c r="AM3" s="13" t="s">
        <v>151</v>
      </c>
      <c r="AN3" s="13" t="s">
        <v>152</v>
      </c>
      <c r="AO3" s="13" t="s">
        <v>154</v>
      </c>
      <c r="AP3" s="13" t="s">
        <v>56</v>
      </c>
      <c r="AQ3" s="13" t="s">
        <v>88</v>
      </c>
      <c r="AR3" s="13" t="s">
        <v>154</v>
      </c>
      <c r="AS3" s="13" t="s">
        <v>151</v>
      </c>
      <c r="AT3" s="13" t="s">
        <v>152</v>
      </c>
      <c r="AU3" s="13" t="s">
        <v>154</v>
      </c>
      <c r="AV3" s="13" t="s">
        <v>56</v>
      </c>
      <c r="AW3" s="13" t="s">
        <v>88</v>
      </c>
      <c r="AX3" s="13" t="s">
        <v>154</v>
      </c>
      <c r="AY3" s="13" t="s">
        <v>151</v>
      </c>
      <c r="AZ3" s="13" t="s">
        <v>152</v>
      </c>
      <c r="BA3" s="13" t="s">
        <v>154</v>
      </c>
    </row>
    <row r="4" spans="1:53">
      <c r="A4" s="4" t="s">
        <v>18</v>
      </c>
      <c r="B4" s="132">
        <v>2111</v>
      </c>
      <c r="C4" s="91">
        <f>268000/(1000)</f>
        <v>268</v>
      </c>
      <c r="D4" s="91">
        <f>(208919+525)/(1000)</f>
        <v>209.44399999999999</v>
      </c>
      <c r="E4" s="99">
        <f t="shared" ref="E4:E35" si="0">(D4-C4)/C4*100</f>
        <v>-21.849253731343289</v>
      </c>
      <c r="F4" s="129">
        <v>361</v>
      </c>
      <c r="G4" s="135">
        <v>278.38</v>
      </c>
      <c r="H4" s="99">
        <f t="shared" ref="H4:H26" si="1">(G4-F4)/F4*100</f>
        <v>-22.886426592797786</v>
      </c>
      <c r="I4" s="172">
        <v>361</v>
      </c>
      <c r="J4" s="172">
        <v>385</v>
      </c>
      <c r="K4" s="172">
        <v>412</v>
      </c>
      <c r="M4" s="4" t="s">
        <v>18</v>
      </c>
      <c r="N4" s="132">
        <v>2111</v>
      </c>
      <c r="O4" s="129"/>
      <c r="P4" s="133"/>
      <c r="Q4" s="99" t="e">
        <f t="shared" ref="Q4:Q35" si="2">(P4-O4)/O4*100</f>
        <v>#DIV/0!</v>
      </c>
      <c r="R4" s="129"/>
      <c r="S4" s="135"/>
      <c r="T4" s="99" t="e">
        <f t="shared" ref="T4:T35" si="3">(S4-R4)/R4*100</f>
        <v>#DIV/0!</v>
      </c>
      <c r="U4" s="99"/>
      <c r="V4" s="99"/>
      <c r="W4" s="99"/>
      <c r="X4" s="2"/>
      <c r="Y4" s="15">
        <v>2121</v>
      </c>
      <c r="Z4" s="15">
        <v>65</v>
      </c>
      <c r="AA4" s="15">
        <v>90</v>
      </c>
      <c r="AB4" s="15">
        <v>130</v>
      </c>
      <c r="AI4" s="79">
        <v>4001</v>
      </c>
      <c r="AJ4" s="136"/>
      <c r="AK4" s="133"/>
      <c r="AL4" s="99" t="e">
        <f t="shared" ref="AL4:AL13" si="4">(AK4-AJ4)/AJ4*100</f>
        <v>#DIV/0!</v>
      </c>
      <c r="AM4" s="136">
        <v>10</v>
      </c>
      <c r="AN4" s="121">
        <v>6.8</v>
      </c>
      <c r="AO4" s="99">
        <f t="shared" ref="AO4:AO13" si="5">(AN4-AM4)/AM4*100</f>
        <v>-32</v>
      </c>
      <c r="AP4" s="95">
        <v>139</v>
      </c>
      <c r="AQ4" s="90">
        <v>86.293999999999997</v>
      </c>
      <c r="AR4" s="99">
        <f t="shared" ref="AR4:AR12" si="6">(AQ4-AP4)/AP4*100</f>
        <v>-37.917985611510794</v>
      </c>
      <c r="AS4" s="95">
        <v>131</v>
      </c>
      <c r="AT4" s="15">
        <v>74.168000000000006</v>
      </c>
      <c r="AU4" s="99">
        <f t="shared" ref="AU4:AU12" si="7">(AT4-AS4)/AS4*100</f>
        <v>-43.383206106870226</v>
      </c>
      <c r="AV4">
        <f>AJ4+AP4</f>
        <v>139</v>
      </c>
      <c r="AW4">
        <f>AK4+AQ4</f>
        <v>86.293999999999997</v>
      </c>
      <c r="AX4" s="99">
        <f t="shared" ref="AX4:AX13" si="8">(AW4-AV4)/AV4*100</f>
        <v>-37.917985611510794</v>
      </c>
      <c r="AY4">
        <f t="shared" ref="AY4:AZ4" si="9">AM4+AS4</f>
        <v>141</v>
      </c>
      <c r="AZ4">
        <f t="shared" si="9"/>
        <v>80.968000000000004</v>
      </c>
      <c r="BA4" s="99">
        <f t="shared" ref="BA4:BA13" si="10">(AZ4-AY4)/AY4*100</f>
        <v>-42.575886524822693</v>
      </c>
    </row>
    <row r="5" spans="1:53">
      <c r="A5" s="4"/>
      <c r="B5" s="132" t="s">
        <v>176</v>
      </c>
      <c r="C5" s="129">
        <v>0</v>
      </c>
      <c r="D5" s="133"/>
      <c r="E5" s="99" t="e">
        <f t="shared" si="0"/>
        <v>#DIV/0!</v>
      </c>
      <c r="F5" s="129"/>
      <c r="G5" s="135">
        <v>2.04</v>
      </c>
      <c r="H5" s="99" t="e">
        <f t="shared" si="1"/>
        <v>#DIV/0!</v>
      </c>
      <c r="I5" s="172">
        <v>0</v>
      </c>
      <c r="J5" s="172">
        <v>5</v>
      </c>
      <c r="K5" s="172">
        <v>15</v>
      </c>
      <c r="M5" s="4"/>
      <c r="N5" s="132" t="s">
        <v>176</v>
      </c>
      <c r="O5" s="129"/>
      <c r="P5" s="133"/>
      <c r="Q5" s="99" t="e">
        <f t="shared" si="2"/>
        <v>#DIV/0!</v>
      </c>
      <c r="R5" s="129"/>
      <c r="S5" s="135"/>
      <c r="T5" s="99" t="e">
        <f t="shared" si="3"/>
        <v>#DIV/0!</v>
      </c>
      <c r="U5" s="15"/>
      <c r="V5" s="15"/>
      <c r="W5" s="15"/>
      <c r="X5" s="2"/>
      <c r="Y5" s="15">
        <v>2253</v>
      </c>
      <c r="Z5" s="15">
        <v>142</v>
      </c>
      <c r="AA5" s="15">
        <v>210</v>
      </c>
      <c r="AB5" s="15">
        <v>265</v>
      </c>
      <c r="AI5" s="79">
        <v>4226</v>
      </c>
      <c r="AJ5" s="91">
        <f>60000/(1000)</f>
        <v>60</v>
      </c>
      <c r="AK5" s="91">
        <f>41248/(1000)</f>
        <v>41.247999999999998</v>
      </c>
      <c r="AL5" s="99">
        <f t="shared" si="4"/>
        <v>-31.253333333333337</v>
      </c>
      <c r="AM5" s="136">
        <v>50</v>
      </c>
      <c r="AN5" s="121">
        <v>41.155999999999999</v>
      </c>
      <c r="AO5" s="99">
        <f t="shared" si="5"/>
        <v>-17.688000000000002</v>
      </c>
      <c r="AP5" s="95">
        <v>213.5</v>
      </c>
      <c r="AQ5" s="90">
        <f>158.407+2.92</f>
        <v>161.327</v>
      </c>
      <c r="AR5" s="99">
        <f t="shared" si="6"/>
        <v>-24.437002341920376</v>
      </c>
      <c r="AS5" s="95">
        <v>225</v>
      </c>
      <c r="AT5" s="15">
        <f>163.066+2</f>
        <v>165.066</v>
      </c>
      <c r="AU5" s="99">
        <f t="shared" si="7"/>
        <v>-26.637333333333331</v>
      </c>
      <c r="AV5">
        <f t="shared" ref="AV5:AV12" si="11">AJ5+AP5</f>
        <v>273.5</v>
      </c>
      <c r="AW5">
        <f t="shared" ref="AW5:AW12" si="12">AK5+AQ5</f>
        <v>202.57499999999999</v>
      </c>
      <c r="AX5" s="99">
        <f t="shared" si="8"/>
        <v>-25.932358318098725</v>
      </c>
      <c r="AY5">
        <f t="shared" ref="AY5:AY12" si="13">AM5+AS5</f>
        <v>275</v>
      </c>
      <c r="AZ5">
        <f t="shared" ref="AZ5:AZ12" si="14">AN5+AT5</f>
        <v>206.22200000000001</v>
      </c>
      <c r="BA5" s="99">
        <f t="shared" si="10"/>
        <v>-25.010181818181813</v>
      </c>
    </row>
    <row r="6" spans="1:53">
      <c r="A6" s="4"/>
      <c r="B6" s="132">
        <v>2121</v>
      </c>
      <c r="C6" s="91">
        <f>0/(1000)</f>
        <v>0</v>
      </c>
      <c r="D6" s="91">
        <f>3615/(1000)</f>
        <v>3.6150000000000002</v>
      </c>
      <c r="E6" s="99" t="e">
        <f t="shared" si="0"/>
        <v>#DIV/0!</v>
      </c>
      <c r="F6" s="129">
        <v>65</v>
      </c>
      <c r="G6" s="135">
        <v>20</v>
      </c>
      <c r="H6" s="99">
        <f t="shared" si="1"/>
        <v>-69.230769230769226</v>
      </c>
      <c r="I6" s="15">
        <v>65</v>
      </c>
      <c r="J6" s="15">
        <v>90</v>
      </c>
      <c r="K6" s="15">
        <v>130</v>
      </c>
      <c r="M6" s="4"/>
      <c r="N6" s="132">
        <v>2121</v>
      </c>
      <c r="O6" s="129"/>
      <c r="P6" s="133"/>
      <c r="Q6" s="99" t="e">
        <f t="shared" si="2"/>
        <v>#DIV/0!</v>
      </c>
      <c r="R6" s="129"/>
      <c r="S6" s="135"/>
      <c r="T6" s="99" t="e">
        <f t="shared" si="3"/>
        <v>#DIV/0!</v>
      </c>
      <c r="U6" s="99"/>
      <c r="V6" s="99"/>
      <c r="W6" s="99"/>
      <c r="X6" s="2"/>
      <c r="Y6" s="15">
        <v>4272</v>
      </c>
      <c r="Z6" s="15">
        <v>45</v>
      </c>
      <c r="AA6" s="15">
        <v>75</v>
      </c>
      <c r="AB6" s="15">
        <v>100</v>
      </c>
      <c r="AI6" s="79">
        <v>4343</v>
      </c>
      <c r="AJ6" s="91">
        <f>185000/(1000)</f>
        <v>185</v>
      </c>
      <c r="AK6" s="91">
        <f>159986/(1000)</f>
        <v>159.98599999999999</v>
      </c>
      <c r="AL6" s="99">
        <f t="shared" si="4"/>
        <v>-13.521081081081087</v>
      </c>
      <c r="AM6" s="136">
        <v>260</v>
      </c>
      <c r="AN6" s="121">
        <v>128.5</v>
      </c>
      <c r="AO6" s="99">
        <f t="shared" si="5"/>
        <v>-50.576923076923073</v>
      </c>
      <c r="AP6" s="95">
        <v>154</v>
      </c>
      <c r="AQ6" s="90">
        <v>62.86</v>
      </c>
      <c r="AR6" s="99">
        <f t="shared" si="6"/>
        <v>-59.18181818181818</v>
      </c>
      <c r="AS6" s="95">
        <v>110</v>
      </c>
      <c r="AT6" s="15">
        <v>59.406999999999996</v>
      </c>
      <c r="AU6" s="99">
        <f t="shared" si="7"/>
        <v>-45.993636363636362</v>
      </c>
      <c r="AV6">
        <f t="shared" si="11"/>
        <v>339</v>
      </c>
      <c r="AW6">
        <f t="shared" si="12"/>
        <v>222.846</v>
      </c>
      <c r="AX6" s="99">
        <f t="shared" si="8"/>
        <v>-34.263716814159288</v>
      </c>
      <c r="AY6">
        <f t="shared" si="13"/>
        <v>370</v>
      </c>
      <c r="AZ6">
        <f t="shared" si="14"/>
        <v>187.90699999999998</v>
      </c>
      <c r="BA6" s="99">
        <f t="shared" si="10"/>
        <v>-49.214324324324323</v>
      </c>
    </row>
    <row r="7" spans="1:53">
      <c r="A7" s="4"/>
      <c r="B7" s="132">
        <v>2233</v>
      </c>
      <c r="C7" s="91">
        <f>102141/(1000)</f>
        <v>102.14100000000001</v>
      </c>
      <c r="D7" s="91">
        <f>86779/(1000)</f>
        <v>86.778999999999996</v>
      </c>
      <c r="E7" s="99">
        <f t="shared" si="0"/>
        <v>-15.039993734151819</v>
      </c>
      <c r="F7" s="133">
        <v>100</v>
      </c>
      <c r="G7" s="135">
        <v>89</v>
      </c>
      <c r="H7" s="99">
        <f t="shared" si="1"/>
        <v>-11</v>
      </c>
      <c r="I7" s="173">
        <v>100</v>
      </c>
      <c r="J7" s="174">
        <v>100</v>
      </c>
      <c r="K7" s="173">
        <v>100</v>
      </c>
      <c r="M7" s="4"/>
      <c r="N7" s="132">
        <v>2233</v>
      </c>
      <c r="O7" s="133"/>
      <c r="P7" s="133"/>
      <c r="Q7" s="99" t="e">
        <f t="shared" si="2"/>
        <v>#DIV/0!</v>
      </c>
      <c r="R7" s="133"/>
      <c r="S7" s="135"/>
      <c r="T7" s="99" t="e">
        <f t="shared" si="3"/>
        <v>#DIV/0!</v>
      </c>
      <c r="U7" s="99"/>
      <c r="V7" s="99"/>
      <c r="W7" s="99"/>
      <c r="X7" s="2"/>
      <c r="Y7" s="15">
        <v>4352</v>
      </c>
      <c r="Z7" s="15">
        <v>10</v>
      </c>
      <c r="AA7" s="15">
        <v>17</v>
      </c>
      <c r="AB7" s="15">
        <v>28</v>
      </c>
      <c r="AI7" s="79">
        <v>4272</v>
      </c>
      <c r="AJ7" s="95"/>
      <c r="AK7" s="90"/>
      <c r="AL7" s="99"/>
      <c r="AM7" s="95"/>
      <c r="AN7" s="90"/>
      <c r="AO7" s="99"/>
      <c r="AP7" s="95"/>
      <c r="AQ7" s="90"/>
      <c r="AR7" s="99" t="e">
        <f t="shared" si="6"/>
        <v>#DIV/0!</v>
      </c>
      <c r="AS7" s="95">
        <v>20</v>
      </c>
      <c r="AT7" s="15">
        <v>9.5960000000000001</v>
      </c>
      <c r="AU7" s="99">
        <f t="shared" si="7"/>
        <v>-52.019999999999996</v>
      </c>
      <c r="AV7">
        <f t="shared" si="11"/>
        <v>0</v>
      </c>
      <c r="AW7">
        <f t="shared" si="12"/>
        <v>0</v>
      </c>
      <c r="AX7" s="99" t="e">
        <f t="shared" si="8"/>
        <v>#DIV/0!</v>
      </c>
      <c r="AY7">
        <f t="shared" si="13"/>
        <v>20</v>
      </c>
      <c r="AZ7">
        <f t="shared" si="14"/>
        <v>9.5960000000000001</v>
      </c>
      <c r="BA7" s="99">
        <f t="shared" si="10"/>
        <v>-52.019999999999996</v>
      </c>
    </row>
    <row r="8" spans="1:53">
      <c r="A8" s="4"/>
      <c r="B8" s="132" t="s">
        <v>54</v>
      </c>
      <c r="C8" s="91">
        <f>25500/(1000)</f>
        <v>25.5</v>
      </c>
      <c r="D8" s="91">
        <f>15566/(1000)</f>
        <v>15.566000000000001</v>
      </c>
      <c r="E8" s="99">
        <f t="shared" si="0"/>
        <v>-38.956862745098036</v>
      </c>
      <c r="F8" s="129">
        <v>65</v>
      </c>
      <c r="G8" s="135">
        <v>37</v>
      </c>
      <c r="H8" s="99">
        <f t="shared" si="1"/>
        <v>-43.07692307692308</v>
      </c>
      <c r="I8" s="173">
        <v>65</v>
      </c>
      <c r="J8" s="174">
        <v>105</v>
      </c>
      <c r="K8" s="173">
        <v>155</v>
      </c>
      <c r="M8" s="4"/>
      <c r="N8" s="132" t="s">
        <v>54</v>
      </c>
      <c r="O8" s="129"/>
      <c r="P8" s="133"/>
      <c r="Q8" s="99" t="e">
        <f t="shared" si="2"/>
        <v>#DIV/0!</v>
      </c>
      <c r="R8" s="129"/>
      <c r="S8" s="135"/>
      <c r="T8" s="99" t="e">
        <f t="shared" si="3"/>
        <v>#DIV/0!</v>
      </c>
      <c r="U8" s="99"/>
      <c r="V8" s="99"/>
      <c r="W8" s="99"/>
      <c r="X8" s="2"/>
      <c r="Y8" s="15">
        <v>4344</v>
      </c>
      <c r="Z8" s="15">
        <v>20</v>
      </c>
      <c r="AA8" s="15">
        <v>35</v>
      </c>
      <c r="AB8" s="15">
        <v>60</v>
      </c>
      <c r="AI8" s="79">
        <v>4325</v>
      </c>
      <c r="AJ8" s="91">
        <f>11000/(1000)</f>
        <v>11</v>
      </c>
      <c r="AK8" s="91">
        <f>34688/(1000)</f>
        <v>34.688000000000002</v>
      </c>
      <c r="AL8" s="99">
        <f t="shared" ref="AL8:AL13" si="15">(AK8-AJ8)/AJ8*100</f>
        <v>215.34545454545454</v>
      </c>
      <c r="AM8" s="15"/>
      <c r="AN8" s="90">
        <v>2</v>
      </c>
      <c r="AO8" s="99" t="e">
        <f t="shared" ref="AO8:AO13" si="16">(AN8-AM8)/AM8*100</f>
        <v>#DIV/0!</v>
      </c>
      <c r="AP8" s="15"/>
      <c r="AQ8" s="90"/>
      <c r="AR8" s="99" t="e">
        <f t="shared" si="6"/>
        <v>#DIV/0!</v>
      </c>
      <c r="AS8" s="15"/>
      <c r="AT8" s="15"/>
      <c r="AU8" s="99" t="e">
        <f t="shared" si="7"/>
        <v>#DIV/0!</v>
      </c>
      <c r="AV8">
        <f t="shared" si="11"/>
        <v>11</v>
      </c>
      <c r="AW8">
        <f t="shared" si="12"/>
        <v>34.688000000000002</v>
      </c>
      <c r="AX8" s="99">
        <f t="shared" si="8"/>
        <v>215.34545454545454</v>
      </c>
      <c r="AY8">
        <f t="shared" si="13"/>
        <v>0</v>
      </c>
      <c r="AZ8">
        <f t="shared" si="14"/>
        <v>2</v>
      </c>
      <c r="BA8" s="99" t="e">
        <f t="shared" si="10"/>
        <v>#DIV/0!</v>
      </c>
    </row>
    <row r="9" spans="1:53">
      <c r="A9" s="4"/>
      <c r="B9" s="132">
        <v>2245</v>
      </c>
      <c r="C9" s="91">
        <f>9500/(1000)</f>
        <v>9.5</v>
      </c>
      <c r="D9" s="91">
        <f>6532/(1000)</f>
        <v>6.532</v>
      </c>
      <c r="E9" s="99"/>
      <c r="F9" s="129">
        <v>8</v>
      </c>
      <c r="G9" s="135">
        <v>5</v>
      </c>
      <c r="H9" s="99"/>
      <c r="I9" s="173">
        <v>8</v>
      </c>
      <c r="J9" s="174">
        <v>7</v>
      </c>
      <c r="K9" s="173">
        <v>9</v>
      </c>
      <c r="M9" s="4"/>
      <c r="N9" s="132">
        <v>2245</v>
      </c>
      <c r="O9" s="129"/>
      <c r="P9" s="133"/>
      <c r="Q9" s="99" t="e">
        <f t="shared" si="2"/>
        <v>#DIV/0!</v>
      </c>
      <c r="R9" s="129"/>
      <c r="S9" s="135"/>
      <c r="T9" s="99" t="e">
        <f t="shared" si="3"/>
        <v>#DIV/0!</v>
      </c>
      <c r="U9" s="99"/>
      <c r="V9" s="99"/>
      <c r="W9" s="99"/>
      <c r="X9" s="2"/>
      <c r="Y9" s="2"/>
      <c r="AI9" s="79" t="s">
        <v>178</v>
      </c>
      <c r="AJ9" s="15"/>
      <c r="AK9" s="90"/>
      <c r="AL9" s="99" t="e">
        <f t="shared" si="15"/>
        <v>#DIV/0!</v>
      </c>
      <c r="AM9" s="15"/>
      <c r="AN9" s="90"/>
      <c r="AO9" s="99" t="e">
        <f t="shared" si="16"/>
        <v>#DIV/0!</v>
      </c>
      <c r="AP9" s="15">
        <v>7</v>
      </c>
      <c r="AQ9" s="90"/>
      <c r="AR9" s="99">
        <f t="shared" si="6"/>
        <v>-100</v>
      </c>
      <c r="AS9" s="15">
        <v>5</v>
      </c>
      <c r="AT9" s="15"/>
      <c r="AU9" s="99">
        <f t="shared" si="7"/>
        <v>-100</v>
      </c>
      <c r="AV9">
        <f t="shared" si="11"/>
        <v>7</v>
      </c>
      <c r="AW9">
        <f t="shared" si="12"/>
        <v>0</v>
      </c>
      <c r="AX9" s="99">
        <f t="shared" si="8"/>
        <v>-100</v>
      </c>
      <c r="AY9">
        <f t="shared" si="13"/>
        <v>5</v>
      </c>
      <c r="AZ9">
        <f t="shared" si="14"/>
        <v>0</v>
      </c>
      <c r="BA9" s="99">
        <f t="shared" si="10"/>
        <v>-100</v>
      </c>
    </row>
    <row r="10" spans="1:53">
      <c r="A10" s="4"/>
      <c r="B10" s="132">
        <v>2228</v>
      </c>
      <c r="C10" s="91">
        <f>20400/(1000)</f>
        <v>20.399999999999999</v>
      </c>
      <c r="D10" s="91">
        <f>8377/(1000)</f>
        <v>8.3770000000000007</v>
      </c>
      <c r="E10" s="99"/>
      <c r="F10" s="129">
        <v>6</v>
      </c>
      <c r="G10" s="135">
        <v>6</v>
      </c>
      <c r="H10" s="99"/>
      <c r="I10" s="173">
        <v>6</v>
      </c>
      <c r="J10" s="174">
        <v>3</v>
      </c>
      <c r="K10" s="173">
        <v>0</v>
      </c>
      <c r="M10" s="4"/>
      <c r="N10" s="132">
        <v>2228</v>
      </c>
      <c r="O10" s="129"/>
      <c r="P10" s="133"/>
      <c r="Q10" s="99" t="e">
        <f t="shared" si="2"/>
        <v>#DIV/0!</v>
      </c>
      <c r="R10" s="129"/>
      <c r="S10" s="135"/>
      <c r="T10" s="99" t="e">
        <f t="shared" si="3"/>
        <v>#DIV/0!</v>
      </c>
      <c r="U10" s="99"/>
      <c r="V10" s="99"/>
      <c r="W10" s="99"/>
      <c r="X10" s="2"/>
      <c r="Y10" s="2"/>
      <c r="AI10" s="79">
        <v>4301</v>
      </c>
      <c r="AJ10" s="95"/>
      <c r="AK10" s="90"/>
      <c r="AL10" s="99" t="e">
        <f t="shared" si="15"/>
        <v>#DIV/0!</v>
      </c>
      <c r="AM10" s="95"/>
      <c r="AN10" s="90"/>
      <c r="AO10" s="99" t="e">
        <f t="shared" si="16"/>
        <v>#DIV/0!</v>
      </c>
      <c r="AP10" s="95"/>
      <c r="AQ10" s="90">
        <v>15.75</v>
      </c>
      <c r="AR10" s="99" t="e">
        <f t="shared" si="6"/>
        <v>#DIV/0!</v>
      </c>
      <c r="AS10" s="95">
        <v>15</v>
      </c>
      <c r="AT10" s="15">
        <f>14.228+4.256</f>
        <v>18.484000000000002</v>
      </c>
      <c r="AU10" s="99">
        <f t="shared" si="7"/>
        <v>23.226666666666677</v>
      </c>
      <c r="AV10">
        <f t="shared" si="11"/>
        <v>0</v>
      </c>
      <c r="AW10">
        <f t="shared" si="12"/>
        <v>15.75</v>
      </c>
      <c r="AX10" s="99" t="e">
        <f t="shared" si="8"/>
        <v>#DIV/0!</v>
      </c>
      <c r="AY10">
        <f t="shared" si="13"/>
        <v>15</v>
      </c>
      <c r="AZ10">
        <f t="shared" si="14"/>
        <v>18.484000000000002</v>
      </c>
      <c r="BA10" s="99">
        <f t="shared" si="10"/>
        <v>23.226666666666677</v>
      </c>
    </row>
    <row r="11" spans="1:53">
      <c r="A11" s="4"/>
      <c r="B11" s="132" t="s">
        <v>52</v>
      </c>
      <c r="C11" s="91">
        <f>29000/(1000)</f>
        <v>29</v>
      </c>
      <c r="D11" s="91">
        <f>12046/(1000)</f>
        <v>12.045999999999999</v>
      </c>
      <c r="E11" s="99">
        <f t="shared" si="0"/>
        <v>-58.462068965517247</v>
      </c>
      <c r="F11" s="129">
        <v>7</v>
      </c>
      <c r="G11" s="135">
        <v>6</v>
      </c>
      <c r="H11" s="99">
        <f t="shared" si="1"/>
        <v>-14.285714285714285</v>
      </c>
      <c r="I11" s="173">
        <v>7</v>
      </c>
      <c r="J11" s="174">
        <v>8</v>
      </c>
      <c r="K11" s="173">
        <v>8</v>
      </c>
      <c r="M11" s="4"/>
      <c r="N11" s="132" t="s">
        <v>52</v>
      </c>
      <c r="O11" s="129"/>
      <c r="P11" s="133"/>
      <c r="Q11" s="99" t="e">
        <f t="shared" si="2"/>
        <v>#DIV/0!</v>
      </c>
      <c r="R11" s="129"/>
      <c r="S11" s="135"/>
      <c r="T11" s="99" t="e">
        <f t="shared" si="3"/>
        <v>#DIV/0!</v>
      </c>
      <c r="U11" s="99"/>
      <c r="V11" s="99"/>
      <c r="W11" s="99"/>
      <c r="X11" s="2"/>
      <c r="AI11" s="79">
        <v>4550</v>
      </c>
      <c r="AJ11" s="95"/>
      <c r="AK11" s="90"/>
      <c r="AL11" s="99" t="e">
        <f t="shared" si="15"/>
        <v>#DIV/0!</v>
      </c>
      <c r="AM11" s="95"/>
      <c r="AN11" s="90"/>
      <c r="AO11" s="99" t="e">
        <f t="shared" si="16"/>
        <v>#DIV/0!</v>
      </c>
      <c r="AP11" s="95">
        <v>6</v>
      </c>
      <c r="AQ11" s="90">
        <v>5.34</v>
      </c>
      <c r="AR11" s="99">
        <f t="shared" si="6"/>
        <v>-11.000000000000004</v>
      </c>
      <c r="AS11" s="95"/>
      <c r="AT11" s="15">
        <v>4</v>
      </c>
      <c r="AU11" s="99" t="e">
        <f t="shared" si="7"/>
        <v>#DIV/0!</v>
      </c>
      <c r="AV11">
        <f t="shared" si="11"/>
        <v>6</v>
      </c>
      <c r="AW11">
        <f t="shared" si="12"/>
        <v>5.34</v>
      </c>
      <c r="AX11" s="99">
        <f t="shared" si="8"/>
        <v>-11.000000000000004</v>
      </c>
      <c r="AY11">
        <f t="shared" si="13"/>
        <v>0</v>
      </c>
      <c r="AZ11">
        <f t="shared" si="14"/>
        <v>4</v>
      </c>
      <c r="BA11" s="99" t="e">
        <f t="shared" si="10"/>
        <v>#DIV/0!</v>
      </c>
    </row>
    <row r="12" spans="1:53">
      <c r="A12" s="4"/>
      <c r="B12" s="132">
        <v>2318</v>
      </c>
      <c r="C12" s="91">
        <f>18500/(1000)</f>
        <v>18.5</v>
      </c>
      <c r="D12" s="91">
        <f>6841/(1000)</f>
        <v>6.8410000000000002</v>
      </c>
      <c r="E12" s="99">
        <f t="shared" si="0"/>
        <v>-63.021621621621613</v>
      </c>
      <c r="F12" s="129">
        <v>12</v>
      </c>
      <c r="G12" s="135">
        <v>6</v>
      </c>
      <c r="H12" s="99">
        <f t="shared" si="1"/>
        <v>-50</v>
      </c>
      <c r="I12" s="173">
        <v>12</v>
      </c>
      <c r="J12" s="174">
        <v>17</v>
      </c>
      <c r="K12" s="173">
        <v>20</v>
      </c>
      <c r="M12" s="4"/>
      <c r="N12" s="132">
        <v>2318</v>
      </c>
      <c r="O12" s="129"/>
      <c r="P12" s="133"/>
      <c r="Q12" s="99" t="e">
        <f t="shared" si="2"/>
        <v>#DIV/0!</v>
      </c>
      <c r="R12" s="129"/>
      <c r="S12" s="135"/>
      <c r="T12" s="99" t="e">
        <f t="shared" si="3"/>
        <v>#DIV/0!</v>
      </c>
      <c r="U12" s="15"/>
      <c r="V12" s="15"/>
      <c r="W12" s="15"/>
      <c r="X12" s="2"/>
      <c r="AI12" s="79">
        <v>4344</v>
      </c>
      <c r="AJ12" s="95"/>
      <c r="AK12" s="90"/>
      <c r="AL12" s="99"/>
      <c r="AM12" s="95"/>
      <c r="AN12" s="90"/>
      <c r="AO12" s="116"/>
      <c r="AP12" s="95"/>
      <c r="AQ12" s="90"/>
      <c r="AR12" s="99"/>
      <c r="AS12" s="95"/>
      <c r="AT12" s="15"/>
      <c r="AU12" s="116"/>
      <c r="AV12">
        <f t="shared" si="11"/>
        <v>0</v>
      </c>
      <c r="AW12">
        <f t="shared" si="12"/>
        <v>0</v>
      </c>
      <c r="AX12" s="99" t="e">
        <f t="shared" si="8"/>
        <v>#DIV/0!</v>
      </c>
      <c r="AY12">
        <f t="shared" si="13"/>
        <v>0</v>
      </c>
      <c r="AZ12">
        <f t="shared" si="14"/>
        <v>0</v>
      </c>
      <c r="BA12" s="99" t="e">
        <f t="shared" si="10"/>
        <v>#DIV/0!</v>
      </c>
    </row>
    <row r="13" spans="1:53">
      <c r="A13" s="4"/>
      <c r="B13" s="132">
        <v>2377</v>
      </c>
      <c r="C13" s="91">
        <f>16500/(1000)</f>
        <v>16.5</v>
      </c>
      <c r="D13" s="91">
        <f>6947/(1000)</f>
        <v>6.9470000000000001</v>
      </c>
      <c r="E13" s="99">
        <f t="shared" si="0"/>
        <v>-57.896969696969705</v>
      </c>
      <c r="F13" s="129">
        <v>17</v>
      </c>
      <c r="G13" s="135">
        <v>15</v>
      </c>
      <c r="H13" s="99">
        <f t="shared" si="1"/>
        <v>-11.76470588235294</v>
      </c>
      <c r="I13" s="173">
        <v>17</v>
      </c>
      <c r="J13" s="174">
        <v>20</v>
      </c>
      <c r="K13" s="173">
        <v>20</v>
      </c>
      <c r="M13" s="4"/>
      <c r="N13" s="132">
        <v>2377</v>
      </c>
      <c r="O13" s="129"/>
      <c r="P13" s="133"/>
      <c r="Q13" s="99" t="e">
        <f t="shared" si="2"/>
        <v>#DIV/0!</v>
      </c>
      <c r="R13" s="129"/>
      <c r="S13" s="135"/>
      <c r="T13" s="99" t="e">
        <f t="shared" si="3"/>
        <v>#DIV/0!</v>
      </c>
      <c r="U13" s="99"/>
      <c r="V13" s="99"/>
      <c r="W13" s="99"/>
      <c r="X13" s="2"/>
      <c r="Y13" s="105" t="s">
        <v>61</v>
      </c>
      <c r="Z13" s="105" t="s">
        <v>16</v>
      </c>
      <c r="AA13" s="27" t="s">
        <v>120</v>
      </c>
      <c r="AB13" s="27" t="s">
        <v>45</v>
      </c>
      <c r="AC13" s="41" t="s">
        <v>121</v>
      </c>
      <c r="AI13" s="7"/>
      <c r="AJ13" s="16">
        <f>SUM(AJ4:AJ11)</f>
        <v>256</v>
      </c>
      <c r="AK13" s="16">
        <f>SUM(AK4:AK11)</f>
        <v>235.92199999999997</v>
      </c>
      <c r="AL13" s="104">
        <f t="shared" ref="AL13" si="17">(AK13-AJ13)/AJ13*100</f>
        <v>-7.8429687500000123</v>
      </c>
      <c r="AM13" s="16">
        <f>SUM(AM4:AM11)</f>
        <v>320</v>
      </c>
      <c r="AN13" s="16">
        <f>SUM(AN4:AN11)</f>
        <v>178.45599999999999</v>
      </c>
      <c r="AO13" s="103">
        <f>(AN13-AM13)/AM13*100</f>
        <v>-44.232500000000002</v>
      </c>
      <c r="AP13" s="16">
        <f t="shared" ref="AP13:AQ13" si="18">SUM(AP4:AP11)</f>
        <v>519.5</v>
      </c>
      <c r="AQ13" s="16">
        <f t="shared" si="18"/>
        <v>331.57099999999997</v>
      </c>
      <c r="AR13" s="104">
        <f t="shared" ref="AR13" si="19">(AQ13-AP13)/AP13*100</f>
        <v>-36.174975938402312</v>
      </c>
      <c r="AS13" s="16">
        <f t="shared" ref="AS13:AT13" si="20">SUM(AS4:AS11)</f>
        <v>506</v>
      </c>
      <c r="AT13" s="16">
        <f t="shared" si="20"/>
        <v>330.721</v>
      </c>
      <c r="AU13" s="104">
        <f t="shared" ref="AU13" si="21">(AT13-AS13)/AS13*100</f>
        <v>-34.6401185770751</v>
      </c>
      <c r="AV13" s="16">
        <f t="shared" ref="AV13:AW13" si="22">SUM(AV4:AV11)</f>
        <v>775.5</v>
      </c>
      <c r="AW13" s="16">
        <f t="shared" si="22"/>
        <v>567.49300000000005</v>
      </c>
      <c r="AX13" s="104">
        <f t="shared" si="8"/>
        <v>-26.82230818826563</v>
      </c>
      <c r="AY13" s="16">
        <f t="shared" ref="AY13:AZ13" si="23">SUM(AY4:AY11)</f>
        <v>826</v>
      </c>
      <c r="AZ13" s="16">
        <f t="shared" si="23"/>
        <v>509.17699999999996</v>
      </c>
      <c r="BA13" s="104">
        <f t="shared" si="10"/>
        <v>-38.356295399515744</v>
      </c>
    </row>
    <row r="14" spans="1:53">
      <c r="A14" s="82"/>
      <c r="B14" s="132">
        <v>2253</v>
      </c>
      <c r="C14" s="91">
        <f>0/(1000)</f>
        <v>0</v>
      </c>
      <c r="D14" s="91">
        <f>3232/(1000)</f>
        <v>3.2320000000000002</v>
      </c>
      <c r="E14" s="99" t="e">
        <f t="shared" si="0"/>
        <v>#DIV/0!</v>
      </c>
      <c r="F14" s="129">
        <v>142</v>
      </c>
      <c r="G14" s="135">
        <v>19</v>
      </c>
      <c r="H14" s="99">
        <f t="shared" si="1"/>
        <v>-86.619718309859152</v>
      </c>
      <c r="I14" s="15">
        <v>142</v>
      </c>
      <c r="J14" s="15">
        <v>210</v>
      </c>
      <c r="K14" s="15">
        <v>265</v>
      </c>
      <c r="M14" s="82"/>
      <c r="N14" s="132">
        <v>2253</v>
      </c>
      <c r="O14" s="129"/>
      <c r="P14" s="133"/>
      <c r="Q14" s="99" t="e">
        <f t="shared" si="2"/>
        <v>#DIV/0!</v>
      </c>
      <c r="R14" s="129"/>
      <c r="S14" s="135"/>
      <c r="T14" s="99" t="e">
        <f t="shared" si="3"/>
        <v>#DIV/0!</v>
      </c>
      <c r="U14" s="99"/>
      <c r="V14" s="99"/>
      <c r="W14" s="99"/>
      <c r="X14" s="2"/>
      <c r="Y14" s="163" t="s">
        <v>48</v>
      </c>
      <c r="Z14" s="83" t="s">
        <v>18</v>
      </c>
      <c r="AA14" s="90">
        <v>366.4</v>
      </c>
      <c r="AB14" s="90">
        <v>499.4</v>
      </c>
      <c r="AC14" s="90">
        <f>(AB14-AA14)/AA14*100</f>
        <v>36.299126637554586</v>
      </c>
    </row>
    <row r="15" spans="1:53">
      <c r="A15" s="4"/>
      <c r="B15" s="132" t="s">
        <v>55</v>
      </c>
      <c r="C15" s="91">
        <f>7500/(1000)</f>
        <v>7.5</v>
      </c>
      <c r="D15" s="91">
        <f>4280/(1000)</f>
        <v>4.28</v>
      </c>
      <c r="E15" s="99">
        <f t="shared" si="0"/>
        <v>-42.93333333333333</v>
      </c>
      <c r="F15" s="129">
        <v>6</v>
      </c>
      <c r="G15" s="135">
        <v>5</v>
      </c>
      <c r="H15" s="99">
        <f t="shared" si="1"/>
        <v>-16.666666666666664</v>
      </c>
      <c r="I15" s="173">
        <v>6</v>
      </c>
      <c r="J15" s="174">
        <v>9</v>
      </c>
      <c r="K15" s="173">
        <v>14</v>
      </c>
      <c r="M15" s="4"/>
      <c r="N15" s="132" t="s">
        <v>55</v>
      </c>
      <c r="O15" s="129"/>
      <c r="P15" s="133"/>
      <c r="Q15" s="99" t="e">
        <f t="shared" si="2"/>
        <v>#DIV/0!</v>
      </c>
      <c r="R15" s="129"/>
      <c r="S15" s="135"/>
      <c r="T15" s="99" t="e">
        <f t="shared" si="3"/>
        <v>#DIV/0!</v>
      </c>
      <c r="U15" s="15"/>
      <c r="V15" s="15"/>
      <c r="W15" s="15"/>
      <c r="X15" s="2"/>
      <c r="Y15" s="163"/>
      <c r="Z15" s="83" t="s">
        <v>5</v>
      </c>
      <c r="AA15" s="90">
        <v>235.9</v>
      </c>
      <c r="AB15" s="90">
        <v>178.5</v>
      </c>
      <c r="AC15" s="90">
        <f>(AB15-AA15)/AA15*100</f>
        <v>-24.332344213649854</v>
      </c>
    </row>
    <row r="16" spans="1:53">
      <c r="A16" s="4"/>
      <c r="B16" s="132" t="s">
        <v>53</v>
      </c>
      <c r="C16" s="91">
        <f>1000/(1000)</f>
        <v>1</v>
      </c>
      <c r="D16" s="91">
        <f>2743/(1000)</f>
        <v>2.7429999999999999</v>
      </c>
      <c r="E16" s="99">
        <f t="shared" si="0"/>
        <v>174.29999999999998</v>
      </c>
      <c r="F16" s="129"/>
      <c r="G16" s="135">
        <v>5</v>
      </c>
      <c r="H16" s="99" t="e">
        <f t="shared" si="1"/>
        <v>#DIV/0!</v>
      </c>
      <c r="I16" s="173">
        <v>5</v>
      </c>
      <c r="J16" s="174">
        <v>7</v>
      </c>
      <c r="K16" s="173">
        <v>8</v>
      </c>
      <c r="M16" s="4"/>
      <c r="N16" s="132" t="s">
        <v>53</v>
      </c>
      <c r="O16" s="129"/>
      <c r="P16" s="133"/>
      <c r="Q16" s="99" t="e">
        <f t="shared" si="2"/>
        <v>#DIV/0!</v>
      </c>
      <c r="R16" s="129"/>
      <c r="S16" s="135"/>
      <c r="T16" s="99" t="e">
        <f t="shared" si="3"/>
        <v>#DIV/0!</v>
      </c>
      <c r="U16" s="99"/>
      <c r="V16" s="99"/>
      <c r="W16" s="99"/>
      <c r="X16" s="2"/>
      <c r="Y16" s="163" t="s">
        <v>49</v>
      </c>
      <c r="Z16" s="83" t="s">
        <v>18</v>
      </c>
      <c r="AA16" s="90"/>
      <c r="AB16" s="90"/>
      <c r="AC16" s="90" t="e">
        <f>(AB16-AA16)/AA16*100</f>
        <v>#DIV/0!</v>
      </c>
    </row>
    <row r="17" spans="1:29">
      <c r="A17" s="4"/>
      <c r="B17" s="134" t="s">
        <v>119</v>
      </c>
      <c r="C17" s="129">
        <v>4</v>
      </c>
      <c r="D17" s="133"/>
      <c r="E17" s="99">
        <f t="shared" si="0"/>
        <v>-100</v>
      </c>
      <c r="F17" s="129">
        <v>5</v>
      </c>
      <c r="G17" s="135">
        <v>6</v>
      </c>
      <c r="H17" s="99">
        <f t="shared" si="1"/>
        <v>20</v>
      </c>
      <c r="I17" s="173">
        <v>5</v>
      </c>
      <c r="J17" s="174">
        <v>7</v>
      </c>
      <c r="K17" s="173">
        <v>8</v>
      </c>
      <c r="M17" s="4"/>
      <c r="N17" s="134" t="s">
        <v>119</v>
      </c>
      <c r="O17" s="129"/>
      <c r="P17" s="133"/>
      <c r="Q17" s="99" t="e">
        <f t="shared" si="2"/>
        <v>#DIV/0!</v>
      </c>
      <c r="R17" s="129"/>
      <c r="S17" s="135"/>
      <c r="T17" s="99" t="e">
        <f t="shared" si="3"/>
        <v>#DIV/0!</v>
      </c>
      <c r="U17" s="99"/>
      <c r="V17" s="99"/>
      <c r="W17" s="99"/>
      <c r="X17" s="2"/>
      <c r="Y17" s="163"/>
      <c r="Z17" s="83" t="s">
        <v>5</v>
      </c>
      <c r="AA17" s="90">
        <v>331</v>
      </c>
      <c r="AB17" s="90">
        <v>331</v>
      </c>
      <c r="AC17" s="90">
        <f>(AB17-AA17)/AA17*100</f>
        <v>0</v>
      </c>
    </row>
    <row r="18" spans="1:29">
      <c r="A18" s="7"/>
      <c r="B18" s="7"/>
      <c r="C18" s="16">
        <f>SUM(C4:C17)</f>
        <v>502.041</v>
      </c>
      <c r="D18" s="16">
        <f>SUM(D4:D17)</f>
        <v>366.40199999999993</v>
      </c>
      <c r="E18" s="104">
        <f t="shared" si="0"/>
        <v>-27.017514505787389</v>
      </c>
      <c r="F18" s="16">
        <f>SUM(F4:F17)</f>
        <v>794</v>
      </c>
      <c r="G18" s="16">
        <f>SUM(G4:G17)</f>
        <v>499.42</v>
      </c>
      <c r="H18" s="103">
        <f t="shared" si="1"/>
        <v>-37.100755667506299</v>
      </c>
      <c r="I18" s="16">
        <f>SUM(I4:I17)</f>
        <v>799</v>
      </c>
      <c r="J18" s="16">
        <f>SUM(J4:J17)</f>
        <v>973</v>
      </c>
      <c r="K18" s="16">
        <f>SUM(K4:K17)</f>
        <v>1164</v>
      </c>
      <c r="M18" s="7"/>
      <c r="N18" s="7"/>
      <c r="O18" s="16">
        <f>SUM(O4:O17)</f>
        <v>0</v>
      </c>
      <c r="P18" s="16">
        <f>SUM(P4:P17)</f>
        <v>0</v>
      </c>
      <c r="Q18" s="104" t="e">
        <f t="shared" si="2"/>
        <v>#DIV/0!</v>
      </c>
      <c r="R18" s="16">
        <f>SUM(R4:R17)</f>
        <v>0</v>
      </c>
      <c r="S18" s="16">
        <f>SUM(S4:S17)</f>
        <v>0</v>
      </c>
      <c r="T18" s="103" t="e">
        <f t="shared" ref="T18" si="24">(S18-R18)/R18*100</f>
        <v>#DIV/0!</v>
      </c>
      <c r="U18" s="16">
        <f>SUM(U4:U17)</f>
        <v>0</v>
      </c>
      <c r="V18" s="16">
        <f>SUM(V4:V17)</f>
        <v>0</v>
      </c>
      <c r="W18" s="16">
        <f>SUM(W4:W17)</f>
        <v>0</v>
      </c>
      <c r="X18" s="36"/>
      <c r="Y18" s="120"/>
      <c r="Z18" s="83" t="s">
        <v>5</v>
      </c>
      <c r="AA18" s="90">
        <f>AA15+AA17</f>
        <v>566.9</v>
      </c>
      <c r="AB18" s="90">
        <f>AB15+AB17</f>
        <v>509.5</v>
      </c>
      <c r="AC18" s="90">
        <f>(AB18-AA18)/AA18*100</f>
        <v>-10.125242547186449</v>
      </c>
    </row>
    <row r="19" spans="1:29">
      <c r="A19" s="4" t="s">
        <v>5</v>
      </c>
      <c r="B19" s="79">
        <v>4001</v>
      </c>
      <c r="C19" s="136"/>
      <c r="D19" s="133"/>
      <c r="E19" s="99" t="e">
        <f t="shared" si="0"/>
        <v>#DIV/0!</v>
      </c>
      <c r="F19" s="136">
        <v>10</v>
      </c>
      <c r="G19" s="121">
        <v>6.8</v>
      </c>
      <c r="H19" s="99">
        <f t="shared" si="1"/>
        <v>-32</v>
      </c>
      <c r="I19" s="175">
        <v>10</v>
      </c>
      <c r="J19" s="175">
        <v>15</v>
      </c>
      <c r="K19" s="175">
        <v>20</v>
      </c>
      <c r="M19" s="4" t="s">
        <v>5</v>
      </c>
      <c r="N19" s="79">
        <v>4001</v>
      </c>
      <c r="O19" s="95">
        <v>139</v>
      </c>
      <c r="P19" s="90">
        <v>86.293999999999997</v>
      </c>
      <c r="Q19" s="99">
        <f t="shared" si="2"/>
        <v>-37.917985611510794</v>
      </c>
      <c r="R19" s="95">
        <v>131</v>
      </c>
      <c r="S19" s="15">
        <v>74.168000000000006</v>
      </c>
      <c r="T19" s="99">
        <f t="shared" si="3"/>
        <v>-43.383206106870226</v>
      </c>
      <c r="U19" s="15">
        <v>90</v>
      </c>
      <c r="V19" s="4">
        <v>100</v>
      </c>
      <c r="W19" s="4">
        <v>100</v>
      </c>
    </row>
    <row r="20" spans="1:29">
      <c r="A20" s="4"/>
      <c r="B20" s="79">
        <v>4226</v>
      </c>
      <c r="C20" s="91">
        <f>60000/(1000)</f>
        <v>60</v>
      </c>
      <c r="D20" s="91">
        <f>41248/(1000)</f>
        <v>41.247999999999998</v>
      </c>
      <c r="E20" s="99">
        <f t="shared" si="0"/>
        <v>-31.253333333333337</v>
      </c>
      <c r="F20" s="136">
        <v>50</v>
      </c>
      <c r="G20" s="121">
        <v>41.155999999999999</v>
      </c>
      <c r="H20" s="99">
        <f t="shared" si="1"/>
        <v>-17.688000000000002</v>
      </c>
      <c r="I20" s="176">
        <v>50</v>
      </c>
      <c r="J20" s="176">
        <v>50</v>
      </c>
      <c r="K20" s="176">
        <v>50</v>
      </c>
      <c r="M20" s="4"/>
      <c r="N20" s="79">
        <v>4226</v>
      </c>
      <c r="O20" s="95">
        <v>213.5</v>
      </c>
      <c r="P20" s="90">
        <f>158.407+2.92</f>
        <v>161.327</v>
      </c>
      <c r="Q20" s="99">
        <f t="shared" si="2"/>
        <v>-24.437002341920376</v>
      </c>
      <c r="R20" s="95">
        <v>225</v>
      </c>
      <c r="S20" s="15">
        <f>163.066+2</f>
        <v>165.066</v>
      </c>
      <c r="T20" s="99">
        <f t="shared" si="3"/>
        <v>-26.637333333333331</v>
      </c>
      <c r="U20" s="15">
        <v>190</v>
      </c>
      <c r="V20" s="4">
        <v>200</v>
      </c>
      <c r="W20" s="4">
        <v>220</v>
      </c>
      <c r="Z20" s="115"/>
    </row>
    <row r="21" spans="1:29">
      <c r="A21" s="4"/>
      <c r="B21" s="79">
        <v>4343</v>
      </c>
      <c r="C21" s="91">
        <f>185000/(1000)</f>
        <v>185</v>
      </c>
      <c r="D21" s="91">
        <f>159986/(1000)</f>
        <v>159.98599999999999</v>
      </c>
      <c r="E21" s="99">
        <f t="shared" si="0"/>
        <v>-13.521081081081087</v>
      </c>
      <c r="F21" s="136">
        <v>260</v>
      </c>
      <c r="G21" s="121">
        <v>128.5</v>
      </c>
      <c r="H21" s="99">
        <f t="shared" si="1"/>
        <v>-50.576923076923073</v>
      </c>
      <c r="I21" s="176">
        <v>260</v>
      </c>
      <c r="J21" s="176">
        <v>245</v>
      </c>
      <c r="K21" s="176">
        <v>230</v>
      </c>
      <c r="M21" s="4"/>
      <c r="N21" s="79">
        <v>4343</v>
      </c>
      <c r="O21" s="95">
        <v>154</v>
      </c>
      <c r="P21" s="90">
        <v>62.86</v>
      </c>
      <c r="Q21" s="99">
        <f t="shared" si="2"/>
        <v>-59.18181818181818</v>
      </c>
      <c r="R21" s="95">
        <v>110</v>
      </c>
      <c r="S21" s="15">
        <v>59.406999999999996</v>
      </c>
      <c r="T21" s="99">
        <f t="shared" si="3"/>
        <v>-45.993636363636362</v>
      </c>
      <c r="U21" s="15">
        <v>90</v>
      </c>
      <c r="V21" s="4">
        <v>109</v>
      </c>
      <c r="W21" s="4">
        <v>129</v>
      </c>
      <c r="Z21" s="115"/>
    </row>
    <row r="22" spans="1:29">
      <c r="A22" s="4"/>
      <c r="B22" s="79">
        <v>4272</v>
      </c>
      <c r="C22" s="95"/>
      <c r="D22" s="90"/>
      <c r="E22" s="99"/>
      <c r="F22" s="95"/>
      <c r="G22" s="90"/>
      <c r="H22" s="99"/>
      <c r="I22" s="15"/>
      <c r="J22" s="15"/>
      <c r="K22" s="15"/>
      <c r="M22" s="4"/>
      <c r="N22" s="79">
        <v>4272</v>
      </c>
      <c r="O22" s="95"/>
      <c r="P22" s="90"/>
      <c r="Q22" s="99" t="e">
        <f t="shared" si="2"/>
        <v>#DIV/0!</v>
      </c>
      <c r="R22" s="95">
        <v>20</v>
      </c>
      <c r="S22" s="15">
        <v>9.5960000000000001</v>
      </c>
      <c r="T22" s="99">
        <f t="shared" si="3"/>
        <v>-52.019999999999996</v>
      </c>
      <c r="U22" s="15">
        <v>45</v>
      </c>
      <c r="V22" s="4">
        <v>75</v>
      </c>
      <c r="W22" s="4">
        <v>100</v>
      </c>
      <c r="Z22" s="115"/>
    </row>
    <row r="23" spans="1:29">
      <c r="A23" s="4"/>
      <c r="B23" s="79">
        <v>4325</v>
      </c>
      <c r="C23" s="91">
        <f>11000/(1000)</f>
        <v>11</v>
      </c>
      <c r="D23" s="91">
        <f>34688/(1000)</f>
        <v>34.688000000000002</v>
      </c>
      <c r="E23" s="99">
        <f t="shared" si="0"/>
        <v>215.34545454545454</v>
      </c>
      <c r="F23" s="15"/>
      <c r="G23" s="90">
        <v>2</v>
      </c>
      <c r="H23" s="99" t="e">
        <f t="shared" si="1"/>
        <v>#DIV/0!</v>
      </c>
      <c r="I23" s="15"/>
      <c r="J23" s="15"/>
      <c r="K23" s="15"/>
      <c r="M23" s="4"/>
      <c r="N23" s="79">
        <v>4325</v>
      </c>
      <c r="O23" s="15"/>
      <c r="P23" s="90"/>
      <c r="Q23" s="99" t="e">
        <f t="shared" si="2"/>
        <v>#DIV/0!</v>
      </c>
      <c r="R23" s="15"/>
      <c r="S23" s="15"/>
      <c r="T23" s="99" t="e">
        <f t="shared" si="3"/>
        <v>#DIV/0!</v>
      </c>
      <c r="U23" s="15"/>
      <c r="V23" s="4"/>
      <c r="W23" s="4"/>
      <c r="Z23" s="115"/>
    </row>
    <row r="24" spans="1:29">
      <c r="A24" s="4"/>
      <c r="B24" s="79" t="s">
        <v>178</v>
      </c>
      <c r="C24" s="15"/>
      <c r="D24" s="90"/>
      <c r="E24" s="99" t="e">
        <f t="shared" si="0"/>
        <v>#DIV/0!</v>
      </c>
      <c r="F24" s="15"/>
      <c r="G24" s="90"/>
      <c r="H24" s="99" t="e">
        <f t="shared" si="1"/>
        <v>#DIV/0!</v>
      </c>
      <c r="I24" s="15"/>
      <c r="J24" s="15"/>
      <c r="K24" s="15"/>
      <c r="M24" s="4"/>
      <c r="N24" s="79">
        <v>4352</v>
      </c>
      <c r="O24" s="15">
        <v>7</v>
      </c>
      <c r="P24" s="90"/>
      <c r="Q24" s="99">
        <f t="shared" si="2"/>
        <v>-100</v>
      </c>
      <c r="R24" s="15">
        <v>5</v>
      </c>
      <c r="S24" s="15"/>
      <c r="T24" s="99">
        <f t="shared" si="3"/>
        <v>-100</v>
      </c>
      <c r="U24" s="15">
        <v>10</v>
      </c>
      <c r="V24" s="4">
        <v>17</v>
      </c>
      <c r="W24" s="4">
        <v>28</v>
      </c>
      <c r="Z24" s="1"/>
    </row>
    <row r="25" spans="1:29">
      <c r="A25" s="4"/>
      <c r="B25" s="79">
        <v>4301</v>
      </c>
      <c r="C25" s="95"/>
      <c r="D25" s="90"/>
      <c r="E25" s="99" t="e">
        <f t="shared" si="0"/>
        <v>#DIV/0!</v>
      </c>
      <c r="F25" s="95"/>
      <c r="G25" s="90"/>
      <c r="H25" s="99" t="e">
        <f t="shared" si="1"/>
        <v>#DIV/0!</v>
      </c>
      <c r="I25" s="15"/>
      <c r="J25" s="15"/>
      <c r="K25" s="15"/>
      <c r="M25" s="4"/>
      <c r="N25" s="79">
        <v>4307</v>
      </c>
      <c r="O25" s="95"/>
      <c r="P25" s="90">
        <v>15.75</v>
      </c>
      <c r="Q25" s="99" t="e">
        <f t="shared" si="2"/>
        <v>#DIV/0!</v>
      </c>
      <c r="R25" s="95">
        <v>15</v>
      </c>
      <c r="S25" s="15">
        <f>14.228+4.256</f>
        <v>18.484000000000002</v>
      </c>
      <c r="T25" s="99">
        <f t="shared" si="3"/>
        <v>23.226666666666677</v>
      </c>
      <c r="U25" s="15">
        <v>15</v>
      </c>
      <c r="V25" s="4"/>
      <c r="W25" s="4"/>
      <c r="Z25" s="115"/>
    </row>
    <row r="26" spans="1:29">
      <c r="A26" s="4"/>
      <c r="B26" s="79">
        <v>4550</v>
      </c>
      <c r="C26" s="95"/>
      <c r="D26" s="90"/>
      <c r="E26" s="99" t="e">
        <f t="shared" si="0"/>
        <v>#DIV/0!</v>
      </c>
      <c r="F26" s="95"/>
      <c r="G26" s="90"/>
      <c r="H26" s="99" t="e">
        <f t="shared" si="1"/>
        <v>#DIV/0!</v>
      </c>
      <c r="I26" s="15"/>
      <c r="J26" s="15"/>
      <c r="K26" s="15"/>
      <c r="M26" s="4"/>
      <c r="N26" s="79">
        <v>4550</v>
      </c>
      <c r="O26" s="95">
        <v>6</v>
      </c>
      <c r="P26" s="90">
        <v>5.34</v>
      </c>
      <c r="Q26" s="99">
        <f t="shared" si="2"/>
        <v>-11.000000000000004</v>
      </c>
      <c r="R26" s="95"/>
      <c r="S26" s="15">
        <v>4</v>
      </c>
      <c r="T26" s="99" t="e">
        <f t="shared" si="3"/>
        <v>#DIV/0!</v>
      </c>
      <c r="U26" s="15"/>
      <c r="V26" s="4"/>
      <c r="W26" s="4"/>
      <c r="Z26" s="115"/>
    </row>
    <row r="27" spans="1:29">
      <c r="A27" s="4"/>
      <c r="B27" s="79">
        <v>4344</v>
      </c>
      <c r="C27" s="95"/>
      <c r="D27" s="90"/>
      <c r="E27" s="99"/>
      <c r="F27" s="95"/>
      <c r="G27" s="90"/>
      <c r="H27" s="116"/>
      <c r="I27" s="15">
        <v>10</v>
      </c>
      <c r="J27" s="15"/>
      <c r="K27" s="15"/>
      <c r="M27" s="4"/>
      <c r="N27" s="79">
        <v>4344</v>
      </c>
      <c r="O27" s="95"/>
      <c r="P27" s="90"/>
      <c r="Q27" s="99"/>
      <c r="R27" s="95"/>
      <c r="S27" s="15"/>
      <c r="T27" s="116"/>
      <c r="U27" s="15">
        <v>10</v>
      </c>
      <c r="V27" s="4">
        <v>20</v>
      </c>
      <c r="W27" s="4">
        <v>35</v>
      </c>
      <c r="Z27" s="115"/>
    </row>
    <row r="28" spans="1:29">
      <c r="A28" s="7"/>
      <c r="B28" s="7"/>
      <c r="C28" s="16">
        <f>SUM(C19:C26)</f>
        <v>256</v>
      </c>
      <c r="D28" s="16">
        <f>SUM(D19:D26)</f>
        <v>235.92199999999997</v>
      </c>
      <c r="E28" s="104">
        <f t="shared" si="0"/>
        <v>-7.8429687500000123</v>
      </c>
      <c r="F28" s="16">
        <f>SUM(F19:F26)</f>
        <v>320</v>
      </c>
      <c r="G28" s="16">
        <f>SUM(G19:G26)</f>
        <v>178.45599999999999</v>
      </c>
      <c r="H28" s="103">
        <f>(G28-F28)/F28*100</f>
        <v>-44.232500000000002</v>
      </c>
      <c r="I28" s="16">
        <f>SUM(I19:I26)</f>
        <v>320</v>
      </c>
      <c r="J28" s="16">
        <f>SUM(J19:J26)</f>
        <v>310</v>
      </c>
      <c r="K28" s="16">
        <f>SUM(K19:K26)</f>
        <v>300</v>
      </c>
      <c r="M28" s="7"/>
      <c r="N28" s="7"/>
      <c r="O28" s="16">
        <f>SUM(O19:O26)</f>
        <v>519.5</v>
      </c>
      <c r="P28" s="16">
        <f>SUM(P19:P26)</f>
        <v>331.57099999999997</v>
      </c>
      <c r="Q28" s="104">
        <f t="shared" si="2"/>
        <v>-36.174975938402312</v>
      </c>
      <c r="R28" s="16">
        <f>SUM(R19:R26)</f>
        <v>506</v>
      </c>
      <c r="S28" s="16">
        <f>SUM(S19:S26)</f>
        <v>330.721</v>
      </c>
      <c r="T28" s="103">
        <f>(S28-R28)/R28*100</f>
        <v>-34.6401185770751</v>
      </c>
      <c r="U28" s="18">
        <f>SUM(U19:U27)</f>
        <v>450</v>
      </c>
      <c r="V28" s="18">
        <f>SUM(V19:V26)</f>
        <v>501</v>
      </c>
      <c r="W28" s="18">
        <f>SUM(W19:W26)</f>
        <v>577</v>
      </c>
      <c r="Z28" s="115"/>
    </row>
    <row r="29" spans="1:29">
      <c r="A29" s="54" t="s">
        <v>50</v>
      </c>
      <c r="B29" s="54">
        <v>3651</v>
      </c>
      <c r="C29" s="15"/>
      <c r="D29" s="90"/>
      <c r="E29" s="99" t="e">
        <f t="shared" si="0"/>
        <v>#DIV/0!</v>
      </c>
      <c r="F29" s="95"/>
      <c r="G29" s="90"/>
      <c r="H29" s="99" t="e">
        <f t="shared" ref="H29:H31" si="25">(G29-F29)/F29*100</f>
        <v>#DIV/0!</v>
      </c>
      <c r="I29" s="15"/>
      <c r="J29" s="15"/>
      <c r="K29" s="15"/>
      <c r="M29" s="54" t="s">
        <v>50</v>
      </c>
      <c r="N29" s="54" t="s">
        <v>171</v>
      </c>
      <c r="O29" s="15">
        <v>25.5</v>
      </c>
      <c r="P29" s="90">
        <v>27.169</v>
      </c>
      <c r="Q29" s="99">
        <f t="shared" si="2"/>
        <v>6.5450980392156879</v>
      </c>
      <c r="R29" s="94">
        <v>10</v>
      </c>
      <c r="S29" s="4">
        <v>9.0399999999999991</v>
      </c>
      <c r="T29" s="99">
        <f t="shared" si="3"/>
        <v>-9.6000000000000085</v>
      </c>
      <c r="U29" s="4">
        <v>55</v>
      </c>
      <c r="V29" s="4">
        <v>85</v>
      </c>
      <c r="W29" s="4">
        <v>125</v>
      </c>
      <c r="Z29" s="115"/>
    </row>
    <row r="30" spans="1:29">
      <c r="A30" s="54"/>
      <c r="B30" s="54">
        <v>3535</v>
      </c>
      <c r="C30" s="129">
        <v>10</v>
      </c>
      <c r="D30" s="133">
        <v>5.3</v>
      </c>
      <c r="E30" s="99">
        <f t="shared" si="0"/>
        <v>-47</v>
      </c>
      <c r="F30" s="129">
        <v>10</v>
      </c>
      <c r="G30" s="133">
        <v>9.3000000000000007</v>
      </c>
      <c r="H30" s="99">
        <f t="shared" si="25"/>
        <v>-6.999999999999992</v>
      </c>
      <c r="I30" s="15"/>
      <c r="J30" s="15"/>
      <c r="K30" s="15"/>
      <c r="M30" s="54"/>
      <c r="N30" s="54">
        <v>3535</v>
      </c>
      <c r="O30" s="15"/>
      <c r="P30" s="90"/>
      <c r="Q30" s="99" t="e">
        <f t="shared" si="2"/>
        <v>#DIV/0!</v>
      </c>
      <c r="R30" s="4"/>
      <c r="S30" s="4">
        <v>2.64</v>
      </c>
      <c r="T30" s="99" t="e">
        <f t="shared" si="3"/>
        <v>#DIV/0!</v>
      </c>
      <c r="U30" s="4">
        <v>10</v>
      </c>
      <c r="V30" s="4">
        <v>15</v>
      </c>
      <c r="W30" s="4">
        <v>20</v>
      </c>
    </row>
    <row r="31" spans="1:29">
      <c r="A31" s="23"/>
      <c r="B31" s="23">
        <v>3245</v>
      </c>
      <c r="C31" s="15"/>
      <c r="D31" s="90">
        <v>0.6</v>
      </c>
      <c r="E31" s="99" t="e">
        <f t="shared" si="0"/>
        <v>#DIV/0!</v>
      </c>
      <c r="F31" s="15"/>
      <c r="G31" s="90"/>
      <c r="H31" s="99" t="e">
        <f t="shared" si="25"/>
        <v>#DIV/0!</v>
      </c>
      <c r="I31" s="15"/>
      <c r="J31" s="15"/>
      <c r="K31" s="15"/>
      <c r="M31" s="23"/>
      <c r="N31" s="23">
        <v>3245</v>
      </c>
      <c r="O31" s="15"/>
      <c r="P31" s="90"/>
      <c r="Q31" s="99" t="e">
        <f t="shared" si="2"/>
        <v>#DIV/0!</v>
      </c>
      <c r="R31" s="4"/>
      <c r="S31" s="4"/>
      <c r="T31" s="99" t="e">
        <f t="shared" si="3"/>
        <v>#DIV/0!</v>
      </c>
      <c r="U31" s="4"/>
      <c r="V31" s="4"/>
      <c r="W31" s="4"/>
    </row>
    <row r="32" spans="1:29">
      <c r="A32" s="7"/>
      <c r="B32" s="7"/>
      <c r="C32" s="16">
        <f>SUM(C29:C31)</f>
        <v>10</v>
      </c>
      <c r="D32" s="16">
        <f>SUM(D29:D31)</f>
        <v>5.8999999999999995</v>
      </c>
      <c r="E32" s="104">
        <f t="shared" si="0"/>
        <v>-41</v>
      </c>
      <c r="F32" s="16">
        <f t="shared" ref="F32:G32" si="26">SUM(F29:F31)</f>
        <v>10</v>
      </c>
      <c r="G32" s="16">
        <f t="shared" si="26"/>
        <v>9.3000000000000007</v>
      </c>
      <c r="H32" s="103">
        <f>(G32-F32)/F32*100</f>
        <v>-6.999999999999992</v>
      </c>
      <c r="I32" s="16">
        <f t="shared" ref="I32:K32" si="27">SUM(I29:I31)</f>
        <v>0</v>
      </c>
      <c r="J32" s="16">
        <f t="shared" si="27"/>
        <v>0</v>
      </c>
      <c r="K32" s="16">
        <f t="shared" si="27"/>
        <v>0</v>
      </c>
      <c r="M32" s="7"/>
      <c r="N32" s="7"/>
      <c r="O32" s="16">
        <f>SUM(O29:O31)</f>
        <v>25.5</v>
      </c>
      <c r="P32" s="16">
        <f>SUM(P29:P31)</f>
        <v>27.169</v>
      </c>
      <c r="Q32" s="104">
        <f t="shared" si="2"/>
        <v>6.5450980392156879</v>
      </c>
      <c r="R32" s="118">
        <f t="shared" ref="R32:S32" si="28">SUM(R29:R31)</f>
        <v>10</v>
      </c>
      <c r="S32" s="118">
        <f t="shared" si="28"/>
        <v>11.68</v>
      </c>
      <c r="T32" s="103">
        <f>(S32-R32)/R32*100</f>
        <v>16.799999999999997</v>
      </c>
      <c r="U32" s="18">
        <f t="shared" ref="U32:W32" si="29">SUM(U29:U31)</f>
        <v>65</v>
      </c>
      <c r="V32" s="18">
        <f t="shared" si="29"/>
        <v>100</v>
      </c>
      <c r="W32" s="18">
        <f t="shared" si="29"/>
        <v>145</v>
      </c>
    </row>
    <row r="33" spans="1:23">
      <c r="A33" s="4" t="s">
        <v>6</v>
      </c>
      <c r="B33" s="26" t="s">
        <v>101</v>
      </c>
      <c r="C33" s="91">
        <f>41000/(1000)</f>
        <v>41</v>
      </c>
      <c r="D33" s="91">
        <f>15598/(1000)</f>
        <v>15.598000000000001</v>
      </c>
      <c r="E33" s="99">
        <f t="shared" si="0"/>
        <v>-61.956097560975607</v>
      </c>
      <c r="F33" s="129">
        <v>20</v>
      </c>
      <c r="G33" s="129">
        <v>16.553999999999998</v>
      </c>
      <c r="H33" s="99">
        <f t="shared" ref="H33:H35" si="30">(G33-F33)/F33*100</f>
        <v>-17.230000000000008</v>
      </c>
      <c r="I33" s="15"/>
      <c r="J33" s="15"/>
      <c r="K33" s="15"/>
      <c r="M33" s="4" t="s">
        <v>6</v>
      </c>
      <c r="N33" s="26" t="s">
        <v>101</v>
      </c>
      <c r="O33" s="15"/>
      <c r="P33" s="15"/>
      <c r="Q33" s="116" t="e">
        <f t="shared" si="2"/>
        <v>#DIV/0!</v>
      </c>
      <c r="R33" s="23"/>
      <c r="S33" s="4">
        <v>10</v>
      </c>
      <c r="T33" s="117" t="e">
        <f t="shared" si="3"/>
        <v>#DIV/0!</v>
      </c>
      <c r="U33" s="4">
        <v>50</v>
      </c>
      <c r="V33" s="4">
        <v>75</v>
      </c>
      <c r="W33" s="4">
        <v>100</v>
      </c>
    </row>
    <row r="34" spans="1:23">
      <c r="A34" s="4" t="s">
        <v>7</v>
      </c>
      <c r="B34" s="4"/>
      <c r="C34" s="91">
        <f>5000/(1000)</f>
        <v>5</v>
      </c>
      <c r="D34" s="91">
        <f>1722/(1000)</f>
        <v>1.722</v>
      </c>
      <c r="E34" s="99">
        <f t="shared" si="0"/>
        <v>-65.56</v>
      </c>
      <c r="F34" s="129">
        <v>3</v>
      </c>
      <c r="G34" s="133">
        <v>1.3</v>
      </c>
      <c r="H34" s="99">
        <f t="shared" si="30"/>
        <v>-56.666666666666664</v>
      </c>
      <c r="I34" s="15"/>
      <c r="J34" s="15"/>
      <c r="K34" s="15"/>
      <c r="M34" s="4" t="s">
        <v>7</v>
      </c>
      <c r="N34" s="4"/>
      <c r="O34" s="15">
        <v>59</v>
      </c>
      <c r="P34" s="90">
        <v>12.263999999999999</v>
      </c>
      <c r="Q34" s="116">
        <f t="shared" si="2"/>
        <v>-79.213559322033916</v>
      </c>
      <c r="R34" s="95"/>
      <c r="S34" s="4">
        <v>7</v>
      </c>
      <c r="T34" s="117" t="e">
        <f t="shared" si="3"/>
        <v>#DIV/0!</v>
      </c>
      <c r="U34" s="4">
        <v>10</v>
      </c>
      <c r="V34" s="4">
        <v>20</v>
      </c>
      <c r="W34" s="4">
        <v>35</v>
      </c>
    </row>
    <row r="35" spans="1:23">
      <c r="A35" s="4" t="s">
        <v>8</v>
      </c>
      <c r="B35" s="4"/>
      <c r="C35" s="91">
        <f>0/(1000)</f>
        <v>0</v>
      </c>
      <c r="D35" s="91">
        <f>9020/(1000)</f>
        <v>9.02</v>
      </c>
      <c r="E35" s="99" t="e">
        <f t="shared" si="0"/>
        <v>#DIV/0!</v>
      </c>
      <c r="F35" s="129">
        <v>10</v>
      </c>
      <c r="G35" s="133">
        <v>10</v>
      </c>
      <c r="H35" s="99">
        <f t="shared" si="30"/>
        <v>0</v>
      </c>
      <c r="I35" s="15"/>
      <c r="J35" s="15"/>
      <c r="K35" s="15"/>
      <c r="M35" s="4" t="s">
        <v>8</v>
      </c>
      <c r="N35" s="4"/>
      <c r="O35" s="15">
        <v>110</v>
      </c>
      <c r="P35" s="90">
        <v>91.12</v>
      </c>
      <c r="Q35" s="116">
        <f t="shared" si="2"/>
        <v>-17.163636363636357</v>
      </c>
      <c r="R35" s="95">
        <v>60</v>
      </c>
      <c r="S35" s="4">
        <v>60</v>
      </c>
      <c r="T35" s="117">
        <f t="shared" si="3"/>
        <v>0</v>
      </c>
      <c r="U35" s="4">
        <v>200</v>
      </c>
      <c r="V35" s="4">
        <v>350</v>
      </c>
      <c r="W35" s="4">
        <v>500</v>
      </c>
    </row>
    <row r="36" spans="1:23">
      <c r="G36" s="102"/>
      <c r="S36" s="102"/>
    </row>
  </sheetData>
  <mergeCells count="10">
    <mergeCell ref="AJ2:AO2"/>
    <mergeCell ref="AP2:AU2"/>
    <mergeCell ref="AV2:BA2"/>
    <mergeCell ref="Y2:AB2"/>
    <mergeCell ref="Y14:Y15"/>
    <mergeCell ref="Y16:Y17"/>
    <mergeCell ref="I2:K2"/>
    <mergeCell ref="A1:K1"/>
    <mergeCell ref="M1:W1"/>
    <mergeCell ref="U2:W2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18"/>
  <sheetViews>
    <sheetView workbookViewId="0">
      <selection activeCell="L8" sqref="L8"/>
    </sheetView>
  </sheetViews>
  <sheetFormatPr defaultRowHeight="14.5"/>
  <cols>
    <col min="1" max="1" width="6" customWidth="1"/>
    <col min="2" max="2" width="23.453125" bestFit="1" customWidth="1"/>
    <col min="3" max="3" width="17.26953125" bestFit="1" customWidth="1"/>
    <col min="4" max="4" width="9.81640625" customWidth="1"/>
    <col min="6" max="6" width="11.453125" bestFit="1" customWidth="1"/>
    <col min="7" max="7" width="4.81640625" customWidth="1"/>
    <col min="8" max="8" width="15.7265625" bestFit="1" customWidth="1"/>
    <col min="13" max="13" width="10.54296875" bestFit="1" customWidth="1"/>
  </cols>
  <sheetData>
    <row r="1" spans="2:13" ht="15" thickBot="1">
      <c r="H1" s="158" t="s">
        <v>48</v>
      </c>
      <c r="I1" s="158"/>
      <c r="J1" s="158"/>
      <c r="K1" s="158"/>
      <c r="L1" s="158"/>
      <c r="M1" s="41"/>
    </row>
    <row r="2" spans="2:13" ht="15" thickBot="1">
      <c r="B2" s="28" t="s">
        <v>24</v>
      </c>
      <c r="C2" s="29" t="s">
        <v>25</v>
      </c>
      <c r="D2" s="29" t="s">
        <v>26</v>
      </c>
      <c r="E2" s="29" t="s">
        <v>27</v>
      </c>
      <c r="F2" s="29" t="s">
        <v>28</v>
      </c>
      <c r="H2" s="7" t="s">
        <v>18</v>
      </c>
      <c r="I2" s="7" t="s">
        <v>89</v>
      </c>
      <c r="J2" s="7" t="s">
        <v>90</v>
      </c>
      <c r="K2" s="7" t="s">
        <v>91</v>
      </c>
      <c r="L2" s="7" t="s">
        <v>155</v>
      </c>
      <c r="M2" s="7" t="s">
        <v>156</v>
      </c>
    </row>
    <row r="3" spans="2:13" ht="15" thickBot="1">
      <c r="B3" s="64" t="s">
        <v>48</v>
      </c>
      <c r="C3" s="65" t="s">
        <v>29</v>
      </c>
      <c r="D3" s="66"/>
      <c r="E3" s="66"/>
      <c r="F3" s="66"/>
      <c r="H3" s="4" t="s">
        <v>92</v>
      </c>
      <c r="I3" s="62">
        <v>225</v>
      </c>
      <c r="J3" s="62">
        <v>191</v>
      </c>
      <c r="K3" s="62">
        <v>275</v>
      </c>
      <c r="L3" s="137">
        <v>415.98</v>
      </c>
      <c r="M3" s="62"/>
    </row>
    <row r="4" spans="2:13" ht="15" thickBot="1">
      <c r="B4" s="64"/>
      <c r="C4" s="65" t="s">
        <v>30</v>
      </c>
      <c r="D4" s="66"/>
      <c r="E4" s="66"/>
      <c r="F4" s="66"/>
      <c r="H4" s="4" t="s">
        <v>93</v>
      </c>
      <c r="I4" s="62">
        <v>335</v>
      </c>
      <c r="J4" s="62">
        <v>303</v>
      </c>
      <c r="K4" s="62">
        <v>367</v>
      </c>
      <c r="L4" s="137">
        <v>499.4</v>
      </c>
      <c r="M4" s="62"/>
    </row>
    <row r="5" spans="2:13" ht="15" thickBot="1">
      <c r="B5" s="70" t="s">
        <v>99</v>
      </c>
      <c r="C5" s="71"/>
      <c r="D5" s="72">
        <f>SUM(D3:D4)</f>
        <v>0</v>
      </c>
      <c r="E5" s="72">
        <f t="shared" ref="E5:F5" si="0">SUM(E3:E4)</f>
        <v>0</v>
      </c>
      <c r="F5" s="72">
        <f t="shared" si="0"/>
        <v>0</v>
      </c>
      <c r="H5" s="44" t="s">
        <v>94</v>
      </c>
      <c r="I5" s="63">
        <f>I3/I4*100</f>
        <v>67.164179104477611</v>
      </c>
      <c r="J5" s="63">
        <f>J3/J4*100</f>
        <v>63.036303630363037</v>
      </c>
      <c r="K5" s="63">
        <f>K3/K4*100</f>
        <v>74.93188010899182</v>
      </c>
      <c r="L5" s="63">
        <f>L3/L4*100</f>
        <v>83.295955146175416</v>
      </c>
      <c r="M5" s="63"/>
    </row>
    <row r="6" spans="2:13" ht="15" thickBot="1">
      <c r="B6" s="67" t="s">
        <v>49</v>
      </c>
      <c r="C6" s="68" t="s">
        <v>29</v>
      </c>
      <c r="D6" s="69"/>
      <c r="E6" s="69"/>
      <c r="F6" s="69"/>
      <c r="H6" s="4" t="s">
        <v>95</v>
      </c>
      <c r="I6" s="62">
        <v>84</v>
      </c>
      <c r="J6" s="62">
        <v>73</v>
      </c>
      <c r="K6" s="62">
        <v>86</v>
      </c>
      <c r="L6" s="62">
        <v>106</v>
      </c>
      <c r="M6" s="62"/>
    </row>
    <row r="7" spans="2:13" ht="15" thickBot="1">
      <c r="B7" s="67"/>
      <c r="C7" s="68" t="s">
        <v>30</v>
      </c>
      <c r="D7" s="69"/>
      <c r="E7" s="69"/>
      <c r="F7" s="69"/>
      <c r="H7" s="44" t="s">
        <v>96</v>
      </c>
      <c r="I7" s="63">
        <f>I6/I4*100</f>
        <v>25.07462686567164</v>
      </c>
      <c r="J7" s="63">
        <f>J6/J4*100</f>
        <v>24.092409240924091</v>
      </c>
      <c r="K7" s="63">
        <f>K6/K4*100</f>
        <v>23.43324250681199</v>
      </c>
      <c r="L7" s="63">
        <f>L6/L4*100</f>
        <v>21.225470564677615</v>
      </c>
      <c r="M7" s="63"/>
    </row>
    <row r="8" spans="2:13" ht="15" thickBot="1">
      <c r="B8" s="73" t="s">
        <v>100</v>
      </c>
      <c r="C8" s="74"/>
      <c r="D8" s="75">
        <f>SUM(D6:D7)</f>
        <v>0</v>
      </c>
      <c r="E8" s="75">
        <f t="shared" ref="E8:F8" si="1">SUM(E6:E7)</f>
        <v>0</v>
      </c>
      <c r="F8" s="75">
        <f t="shared" si="1"/>
        <v>0</v>
      </c>
      <c r="H8" s="4" t="s">
        <v>97</v>
      </c>
      <c r="I8" s="62">
        <v>141</v>
      </c>
      <c r="J8" s="62">
        <v>118</v>
      </c>
      <c r="K8" s="62">
        <v>189</v>
      </c>
      <c r="L8" s="62">
        <v>310</v>
      </c>
      <c r="M8" s="62"/>
    </row>
    <row r="9" spans="2:13" ht="15" thickBot="1">
      <c r="B9" s="76" t="s">
        <v>28</v>
      </c>
      <c r="C9" s="77"/>
      <c r="D9" s="78">
        <f>D5+D8</f>
        <v>0</v>
      </c>
      <c r="E9" s="78">
        <f t="shared" ref="E9:F9" si="2">E5+E8</f>
        <v>0</v>
      </c>
      <c r="F9" s="78">
        <f t="shared" si="2"/>
        <v>0</v>
      </c>
      <c r="H9" s="44" t="s">
        <v>98</v>
      </c>
      <c r="I9" s="63">
        <f>I8/I4*100</f>
        <v>42.089552238805972</v>
      </c>
      <c r="J9" s="63">
        <f>J8/J4*100</f>
        <v>38.943894389438945</v>
      </c>
      <c r="K9" s="63">
        <f>K8/K4*100</f>
        <v>51.498637602179841</v>
      </c>
      <c r="L9" s="63">
        <f>L8/L4*100</f>
        <v>62.07448938726472</v>
      </c>
      <c r="M9" s="63"/>
    </row>
    <row r="10" spans="2:13">
      <c r="H10" s="158" t="s">
        <v>49</v>
      </c>
      <c r="I10" s="158"/>
      <c r="J10" s="158"/>
      <c r="K10" s="158"/>
      <c r="L10" s="158"/>
      <c r="M10" s="158"/>
    </row>
    <row r="11" spans="2:13">
      <c r="H11" s="7" t="s">
        <v>5</v>
      </c>
      <c r="I11" s="7" t="s">
        <v>89</v>
      </c>
      <c r="J11" s="7" t="s">
        <v>90</v>
      </c>
      <c r="K11" s="7" t="s">
        <v>91</v>
      </c>
      <c r="L11" s="7" t="s">
        <v>155</v>
      </c>
      <c r="M11" s="7"/>
    </row>
    <row r="12" spans="2:13">
      <c r="H12" s="4" t="s">
        <v>92</v>
      </c>
      <c r="I12" s="62">
        <v>25</v>
      </c>
      <c r="J12" s="62">
        <v>74</v>
      </c>
      <c r="K12" s="62">
        <v>150</v>
      </c>
      <c r="L12" s="62">
        <v>238</v>
      </c>
      <c r="M12" s="62"/>
    </row>
    <row r="13" spans="2:13">
      <c r="H13" s="4" t="s">
        <v>93</v>
      </c>
      <c r="I13" s="62">
        <v>108</v>
      </c>
      <c r="J13" s="62">
        <v>136</v>
      </c>
      <c r="K13" s="62">
        <v>205</v>
      </c>
      <c r="L13" s="62">
        <v>308</v>
      </c>
      <c r="M13" s="62"/>
    </row>
    <row r="14" spans="2:13">
      <c r="H14" s="44" t="s">
        <v>94</v>
      </c>
      <c r="I14" s="63">
        <f>I12/I13*100</f>
        <v>23.148148148148149</v>
      </c>
      <c r="J14" s="63">
        <f>J12/J13*100</f>
        <v>54.411764705882348</v>
      </c>
      <c r="K14" s="63">
        <f>K12/K13*100</f>
        <v>73.170731707317074</v>
      </c>
      <c r="L14" s="63">
        <f>L12/L13*100</f>
        <v>77.272727272727266</v>
      </c>
      <c r="M14" s="63"/>
    </row>
    <row r="15" spans="2:13">
      <c r="H15" s="4" t="s">
        <v>95</v>
      </c>
      <c r="I15" s="62">
        <v>5</v>
      </c>
      <c r="J15" s="62">
        <v>11</v>
      </c>
      <c r="K15" s="62">
        <v>58</v>
      </c>
      <c r="L15" s="62">
        <v>61</v>
      </c>
      <c r="M15" s="62"/>
    </row>
    <row r="16" spans="2:13">
      <c r="H16" s="44" t="s">
        <v>96</v>
      </c>
      <c r="I16" s="63">
        <f>I15/I13*100</f>
        <v>4.6296296296296298</v>
      </c>
      <c r="J16" s="63">
        <f>J15/J13*100</f>
        <v>8.0882352941176467</v>
      </c>
      <c r="K16" s="63">
        <f>K15/K13*100</f>
        <v>28.292682926829265</v>
      </c>
      <c r="L16" s="63">
        <f>L15/L13*100</f>
        <v>19.805194805194805</v>
      </c>
      <c r="M16" s="63"/>
    </row>
    <row r="17" spans="8:13">
      <c r="H17" s="4" t="s">
        <v>97</v>
      </c>
      <c r="I17" s="62">
        <v>22</v>
      </c>
      <c r="J17" s="62">
        <v>63</v>
      </c>
      <c r="K17" s="62">
        <v>92</v>
      </c>
      <c r="L17" s="62">
        <v>177</v>
      </c>
      <c r="M17" s="62"/>
    </row>
    <row r="18" spans="8:13">
      <c r="H18" s="44" t="s">
        <v>98</v>
      </c>
      <c r="I18" s="63">
        <f>I17/I13*100</f>
        <v>20.37037037037037</v>
      </c>
      <c r="J18" s="63">
        <f>J17/J13*100</f>
        <v>46.32352941176471</v>
      </c>
      <c r="K18" s="63">
        <f>K17/K13*100</f>
        <v>44.878048780487809</v>
      </c>
      <c r="L18" s="63">
        <f>L17/L13*100</f>
        <v>57.467532467532465</v>
      </c>
      <c r="M18" s="63"/>
    </row>
  </sheetData>
  <mergeCells count="2">
    <mergeCell ref="H1:L1"/>
    <mergeCell ref="H10:M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7"/>
  <sheetViews>
    <sheetView topLeftCell="A20" workbookViewId="0">
      <selection activeCell="M3" sqref="M3:N3"/>
    </sheetView>
  </sheetViews>
  <sheetFormatPr defaultRowHeight="14.5"/>
  <cols>
    <col min="1" max="1" width="13.453125" bestFit="1" customWidth="1"/>
    <col min="3" max="3" width="11.54296875" bestFit="1" customWidth="1"/>
    <col min="5" max="5" width="10.90625" bestFit="1" customWidth="1"/>
    <col min="6" max="6" width="14" bestFit="1" customWidth="1"/>
    <col min="7" max="7" width="12.453125" bestFit="1" customWidth="1"/>
    <col min="9" max="9" width="10" bestFit="1" customWidth="1"/>
    <col min="13" max="13" width="10.90625" bestFit="1" customWidth="1"/>
    <col min="14" max="14" width="14" bestFit="1" customWidth="1"/>
    <col min="15" max="15" width="11.54296875" bestFit="1" customWidth="1"/>
  </cols>
  <sheetData>
    <row r="1" spans="1:15" ht="15.5">
      <c r="A1" s="171" t="s">
        <v>62</v>
      </c>
      <c r="B1" s="171"/>
      <c r="C1" s="171"/>
      <c r="D1" s="171"/>
      <c r="E1" s="171"/>
      <c r="F1" s="171"/>
      <c r="G1" s="171"/>
      <c r="I1" s="171" t="s">
        <v>160</v>
      </c>
      <c r="J1" s="171"/>
      <c r="K1" s="171"/>
      <c r="L1" s="171"/>
      <c r="M1" s="171"/>
      <c r="N1" s="171"/>
      <c r="O1" s="171"/>
    </row>
    <row r="2" spans="1:15">
      <c r="A2" s="110" t="s">
        <v>63</v>
      </c>
      <c r="B2" s="110" t="s">
        <v>64</v>
      </c>
      <c r="C2" s="110" t="s">
        <v>65</v>
      </c>
      <c r="D2" s="110" t="s">
        <v>157</v>
      </c>
      <c r="E2" s="110" t="s">
        <v>158</v>
      </c>
      <c r="F2" s="110" t="s">
        <v>66</v>
      </c>
      <c r="G2" s="110" t="s">
        <v>67</v>
      </c>
      <c r="I2" s="110" t="s">
        <v>63</v>
      </c>
      <c r="J2" s="110" t="s">
        <v>64</v>
      </c>
      <c r="K2" s="110" t="s">
        <v>65</v>
      </c>
      <c r="L2" s="110" t="s">
        <v>157</v>
      </c>
      <c r="M2" s="110" t="s">
        <v>158</v>
      </c>
      <c r="N2" s="110" t="s">
        <v>66</v>
      </c>
      <c r="O2" s="110" t="s">
        <v>67</v>
      </c>
    </row>
    <row r="3" spans="1:15">
      <c r="A3" s="15">
        <v>2111</v>
      </c>
      <c r="B3" s="15" t="s">
        <v>68</v>
      </c>
      <c r="C3" s="129"/>
      <c r="D3" s="129"/>
      <c r="E3" s="129">
        <v>200</v>
      </c>
      <c r="F3" s="129">
        <v>270</v>
      </c>
      <c r="G3" s="129">
        <v>48</v>
      </c>
      <c r="I3" s="15">
        <v>4001</v>
      </c>
      <c r="J3" s="15" t="s">
        <v>68</v>
      </c>
      <c r="K3" s="15"/>
      <c r="L3" s="15"/>
      <c r="M3" s="15">
        <v>155</v>
      </c>
      <c r="N3" s="15">
        <v>123</v>
      </c>
      <c r="O3" s="15">
        <v>26</v>
      </c>
    </row>
    <row r="4" spans="1:15">
      <c r="A4" s="15"/>
      <c r="B4" s="15" t="s">
        <v>69</v>
      </c>
      <c r="C4" s="129"/>
      <c r="D4" s="129"/>
      <c r="E4" s="129"/>
      <c r="F4" s="129">
        <v>1</v>
      </c>
      <c r="G4" s="129"/>
      <c r="I4" s="15"/>
      <c r="J4" s="15" t="s">
        <v>69</v>
      </c>
      <c r="K4" s="15"/>
      <c r="L4" s="15"/>
      <c r="M4" s="15"/>
      <c r="N4" s="15"/>
      <c r="O4" s="15"/>
    </row>
    <row r="5" spans="1:15">
      <c r="A5" s="15"/>
      <c r="B5" s="15" t="s">
        <v>70</v>
      </c>
      <c r="C5" s="129"/>
      <c r="D5" s="129"/>
      <c r="E5" s="129"/>
      <c r="F5" s="129"/>
      <c r="G5" s="129"/>
      <c r="I5" s="15"/>
      <c r="J5" s="15" t="s">
        <v>70</v>
      </c>
      <c r="K5" s="15"/>
      <c r="L5" s="15"/>
      <c r="M5" s="15"/>
      <c r="N5" s="15"/>
      <c r="O5" s="15"/>
    </row>
    <row r="6" spans="1:15">
      <c r="A6" s="15"/>
      <c r="B6" s="15" t="s">
        <v>71</v>
      </c>
      <c r="C6" s="129"/>
      <c r="D6" s="129"/>
      <c r="E6" s="129"/>
      <c r="F6" s="129"/>
      <c r="G6" s="129"/>
      <c r="I6" s="15"/>
      <c r="J6" s="15" t="s">
        <v>71</v>
      </c>
      <c r="K6" s="15"/>
      <c r="L6" s="15"/>
      <c r="M6" s="15"/>
      <c r="N6" s="15"/>
      <c r="O6" s="15"/>
    </row>
    <row r="7" spans="1:15" s="3" customFormat="1">
      <c r="A7" s="111" t="s">
        <v>72</v>
      </c>
      <c r="B7" s="111"/>
      <c r="C7" s="111">
        <f t="shared" ref="C7" si="0">SUM(A7:B7)</f>
        <v>0</v>
      </c>
      <c r="D7" s="111">
        <f t="shared" ref="D7" si="1">SUM(B7:C7)</f>
        <v>0</v>
      </c>
      <c r="E7" s="111">
        <f t="shared" ref="E7" si="2">SUM(C7:D7)</f>
        <v>0</v>
      </c>
      <c r="F7" s="111">
        <f t="shared" ref="F7" si="3">SUM(D7:E7)</f>
        <v>0</v>
      </c>
      <c r="G7" s="111">
        <f t="shared" ref="G7" si="4">SUM(E7:F7)</f>
        <v>0</v>
      </c>
      <c r="I7" s="111" t="s">
        <v>161</v>
      </c>
      <c r="J7" s="111"/>
      <c r="K7" s="111">
        <f t="shared" ref="K7" si="5">SUM(I7:J7)</f>
        <v>0</v>
      </c>
      <c r="L7" s="111">
        <f t="shared" ref="L7" si="6">SUM(J7:K7)</f>
        <v>0</v>
      </c>
      <c r="M7" s="111">
        <f t="shared" ref="M7" si="7">SUM(K7:L7)</f>
        <v>0</v>
      </c>
      <c r="N7" s="111">
        <f t="shared" ref="N7" si="8">SUM(L7:M7)</f>
        <v>0</v>
      </c>
      <c r="O7" s="111">
        <f t="shared" ref="O7" si="9">SUM(M7:N7)</f>
        <v>0</v>
      </c>
    </row>
    <row r="8" spans="1:15">
      <c r="A8" s="15">
        <v>2121</v>
      </c>
      <c r="B8" s="15" t="s">
        <v>68</v>
      </c>
      <c r="C8" s="129"/>
      <c r="D8" s="129"/>
      <c r="E8" s="129">
        <v>150</v>
      </c>
      <c r="F8" s="129">
        <v>147</v>
      </c>
      <c r="G8" s="129"/>
      <c r="I8" s="15">
        <v>4226</v>
      </c>
      <c r="J8" s="15" t="s">
        <v>68</v>
      </c>
      <c r="K8" s="15"/>
      <c r="L8" s="15"/>
      <c r="M8" s="15">
        <v>275</v>
      </c>
      <c r="N8" s="15">
        <v>206</v>
      </c>
      <c r="O8" s="15">
        <v>9</v>
      </c>
    </row>
    <row r="9" spans="1:15">
      <c r="A9" s="15"/>
      <c r="B9" s="15" t="s">
        <v>69</v>
      </c>
      <c r="C9" s="129"/>
      <c r="D9" s="129"/>
      <c r="E9" s="129"/>
      <c r="F9" s="129"/>
      <c r="G9" s="129"/>
      <c r="I9" s="15"/>
      <c r="J9" s="15" t="s">
        <v>69</v>
      </c>
      <c r="K9" s="15"/>
      <c r="L9" s="15"/>
      <c r="M9" s="15"/>
      <c r="N9" s="15"/>
      <c r="O9" s="15"/>
    </row>
    <row r="10" spans="1:15">
      <c r="A10" s="15"/>
      <c r="B10" s="15" t="s">
        <v>70</v>
      </c>
      <c r="C10" s="129"/>
      <c r="D10" s="129"/>
      <c r="E10" s="129"/>
      <c r="F10" s="129"/>
      <c r="G10" s="129"/>
      <c r="I10" s="15"/>
      <c r="J10" s="15" t="s">
        <v>70</v>
      </c>
      <c r="K10" s="15"/>
      <c r="L10" s="15"/>
      <c r="M10" s="15"/>
      <c r="N10" s="15"/>
      <c r="O10" s="15"/>
    </row>
    <row r="11" spans="1:15">
      <c r="A11" s="15"/>
      <c r="B11" s="15" t="s">
        <v>71</v>
      </c>
      <c r="C11" s="129"/>
      <c r="D11" s="129"/>
      <c r="E11" s="129"/>
      <c r="F11" s="129">
        <v>3</v>
      </c>
      <c r="G11" s="129"/>
      <c r="I11" s="15"/>
      <c r="J11" s="15" t="s">
        <v>71</v>
      </c>
      <c r="K11" s="15"/>
      <c r="L11" s="15"/>
      <c r="M11" s="15"/>
      <c r="N11" s="15"/>
      <c r="O11" s="15"/>
    </row>
    <row r="12" spans="1:15" s="3" customFormat="1">
      <c r="A12" s="111" t="s">
        <v>73</v>
      </c>
      <c r="B12" s="111"/>
      <c r="C12" s="111">
        <f t="shared" ref="C12" si="10">SUM(C8:C11)</f>
        <v>0</v>
      </c>
      <c r="D12" s="111">
        <f t="shared" ref="D12" si="11">SUM(D8:D11)</f>
        <v>0</v>
      </c>
      <c r="E12" s="111">
        <f t="shared" ref="E12" si="12">SUM(E8:E11)</f>
        <v>150</v>
      </c>
      <c r="F12" s="111">
        <f t="shared" ref="F12" si="13">SUM(F8:F11)</f>
        <v>150</v>
      </c>
      <c r="G12" s="111">
        <f t="shared" ref="G12" si="14">SUM(G8:G11)</f>
        <v>0</v>
      </c>
      <c r="I12" s="111" t="s">
        <v>162</v>
      </c>
      <c r="J12" s="111"/>
      <c r="K12" s="111">
        <f t="shared" ref="K12" si="15">SUM(K8:K11)</f>
        <v>0</v>
      </c>
      <c r="L12" s="111">
        <f t="shared" ref="L12" si="16">SUM(L8:L11)</f>
        <v>0</v>
      </c>
      <c r="M12" s="111">
        <f t="shared" ref="M12" si="17">SUM(M8:M11)</f>
        <v>275</v>
      </c>
      <c r="N12" s="111">
        <f t="shared" ref="N12" si="18">SUM(N8:N11)</f>
        <v>206</v>
      </c>
      <c r="O12" s="111">
        <f t="shared" ref="O12" si="19">SUM(O8:O11)</f>
        <v>9</v>
      </c>
    </row>
    <row r="13" spans="1:15">
      <c r="A13" s="15">
        <v>2233</v>
      </c>
      <c r="B13" s="15" t="s">
        <v>68</v>
      </c>
      <c r="C13" s="15"/>
      <c r="D13" s="15"/>
      <c r="E13" s="15"/>
      <c r="F13" s="15"/>
      <c r="G13" s="15"/>
      <c r="I13" s="15">
        <v>4343</v>
      </c>
      <c r="J13" s="15" t="s">
        <v>68</v>
      </c>
      <c r="K13" s="15"/>
      <c r="L13" s="15"/>
      <c r="M13" s="15">
        <v>550</v>
      </c>
      <c r="N13" s="15">
        <v>484</v>
      </c>
      <c r="O13" s="15">
        <v>106</v>
      </c>
    </row>
    <row r="14" spans="1:15">
      <c r="A14" s="15"/>
      <c r="B14" s="15" t="s">
        <v>69</v>
      </c>
      <c r="C14" s="15"/>
      <c r="D14" s="15"/>
      <c r="E14" s="15"/>
      <c r="F14" s="15"/>
      <c r="G14" s="15"/>
      <c r="I14" s="15"/>
      <c r="J14" s="15" t="s">
        <v>69</v>
      </c>
      <c r="K14" s="15"/>
      <c r="L14" s="15"/>
      <c r="M14" s="15"/>
      <c r="N14" s="15"/>
      <c r="O14" s="15"/>
    </row>
    <row r="15" spans="1:15">
      <c r="A15" s="15"/>
      <c r="B15" s="15" t="s">
        <v>70</v>
      </c>
      <c r="C15" s="15"/>
      <c r="D15" s="15"/>
      <c r="E15" s="15"/>
      <c r="F15" s="15"/>
      <c r="G15" s="15"/>
      <c r="I15" s="15"/>
      <c r="J15" s="15" t="s">
        <v>70</v>
      </c>
      <c r="K15" s="15"/>
      <c r="L15" s="15"/>
      <c r="M15" s="15"/>
      <c r="N15" s="15"/>
      <c r="O15" s="15"/>
    </row>
    <row r="16" spans="1:15">
      <c r="A16" s="15"/>
      <c r="B16" s="15" t="s">
        <v>71</v>
      </c>
      <c r="C16" s="15"/>
      <c r="D16" s="15"/>
      <c r="E16" s="15"/>
      <c r="F16" s="15"/>
      <c r="G16" s="15"/>
      <c r="I16" s="15"/>
      <c r="J16" s="15" t="s">
        <v>71</v>
      </c>
      <c r="K16" s="15"/>
      <c r="L16" s="15"/>
      <c r="M16" s="15">
        <v>8</v>
      </c>
      <c r="N16" s="15">
        <v>8</v>
      </c>
      <c r="O16" s="15"/>
    </row>
    <row r="17" spans="1:15" s="3" customFormat="1">
      <c r="A17" s="111" t="s">
        <v>74</v>
      </c>
      <c r="B17" s="111"/>
      <c r="C17" s="111">
        <f>SUM(C13:C16)</f>
        <v>0</v>
      </c>
      <c r="D17" s="111">
        <f t="shared" ref="D17:G17" si="20">SUM(D13:D16)</f>
        <v>0</v>
      </c>
      <c r="E17" s="111">
        <f t="shared" si="20"/>
        <v>0</v>
      </c>
      <c r="F17" s="111">
        <f t="shared" si="20"/>
        <v>0</v>
      </c>
      <c r="G17" s="111">
        <f t="shared" si="20"/>
        <v>0</v>
      </c>
      <c r="I17" s="111" t="s">
        <v>163</v>
      </c>
      <c r="J17" s="111"/>
      <c r="K17" s="111">
        <f t="shared" ref="K17:O17" si="21">SUM(K13:K16)</f>
        <v>0</v>
      </c>
      <c r="L17" s="111">
        <f t="shared" si="21"/>
        <v>0</v>
      </c>
      <c r="M17" s="111">
        <f t="shared" si="21"/>
        <v>558</v>
      </c>
      <c r="N17" s="111">
        <f t="shared" si="21"/>
        <v>492</v>
      </c>
      <c r="O17" s="111">
        <f t="shared" si="21"/>
        <v>106</v>
      </c>
    </row>
    <row r="18" spans="1:15">
      <c r="A18" s="15">
        <v>2253</v>
      </c>
      <c r="B18" s="15" t="s">
        <v>68</v>
      </c>
      <c r="C18" s="129"/>
      <c r="D18" s="129"/>
      <c r="E18" s="129">
        <v>308</v>
      </c>
      <c r="F18" s="129">
        <v>310</v>
      </c>
      <c r="G18" s="129"/>
      <c r="I18" s="15">
        <v>4272</v>
      </c>
      <c r="J18" s="15" t="s">
        <v>68</v>
      </c>
      <c r="K18" s="15"/>
      <c r="L18" s="15"/>
      <c r="M18" s="15">
        <v>160</v>
      </c>
      <c r="N18" s="15">
        <v>102</v>
      </c>
      <c r="O18" s="15">
        <v>24</v>
      </c>
    </row>
    <row r="19" spans="1:15">
      <c r="A19" s="15"/>
      <c r="B19" s="15" t="s">
        <v>69</v>
      </c>
      <c r="C19" s="129"/>
      <c r="D19" s="129"/>
      <c r="E19" s="129"/>
      <c r="F19" s="129"/>
      <c r="G19" s="129"/>
      <c r="I19" s="15"/>
      <c r="J19" s="15" t="s">
        <v>69</v>
      </c>
      <c r="K19" s="15"/>
      <c r="L19" s="15"/>
      <c r="M19" s="15"/>
      <c r="N19" s="15"/>
      <c r="O19" s="15"/>
    </row>
    <row r="20" spans="1:15">
      <c r="A20" s="15"/>
      <c r="B20" s="15" t="s">
        <v>70</v>
      </c>
      <c r="C20" s="129"/>
      <c r="D20" s="129"/>
      <c r="E20" s="129"/>
      <c r="F20" s="129">
        <v>5</v>
      </c>
      <c r="G20" s="129"/>
      <c r="I20" s="15"/>
      <c r="J20" s="15" t="s">
        <v>70</v>
      </c>
      <c r="K20" s="15"/>
      <c r="L20" s="15"/>
      <c r="M20" s="15"/>
      <c r="N20" s="15"/>
      <c r="O20" s="15"/>
    </row>
    <row r="21" spans="1:15">
      <c r="A21" s="15"/>
      <c r="B21" s="15" t="s">
        <v>71</v>
      </c>
      <c r="C21" s="129"/>
      <c r="D21" s="129"/>
      <c r="E21" s="129"/>
      <c r="F21" s="129">
        <v>6</v>
      </c>
      <c r="G21" s="129"/>
      <c r="I21" s="15"/>
      <c r="J21" s="15" t="s">
        <v>71</v>
      </c>
      <c r="K21" s="15"/>
      <c r="L21" s="15"/>
      <c r="M21" s="15">
        <v>2</v>
      </c>
      <c r="N21" s="15">
        <v>1</v>
      </c>
      <c r="O21" s="15"/>
    </row>
    <row r="22" spans="1:15" s="3" customFormat="1">
      <c r="A22" s="111" t="s">
        <v>75</v>
      </c>
      <c r="B22" s="111"/>
      <c r="C22" s="111">
        <f t="shared" ref="C22" si="22">SUM(C11:C21)</f>
        <v>0</v>
      </c>
      <c r="D22" s="111">
        <f t="shared" ref="D22" si="23">SUM(D11:D21)</f>
        <v>0</v>
      </c>
      <c r="E22" s="111">
        <f t="shared" ref="E22" si="24">SUM(E11:E21)</f>
        <v>458</v>
      </c>
      <c r="F22" s="111">
        <f t="shared" ref="F22" si="25">SUM(F11:F21)</f>
        <v>474</v>
      </c>
      <c r="G22" s="111">
        <f t="shared" ref="G22" si="26">SUM(G11:G21)</f>
        <v>0</v>
      </c>
      <c r="I22" s="111" t="s">
        <v>164</v>
      </c>
      <c r="J22" s="111"/>
      <c r="K22" s="111">
        <f t="shared" ref="K22" si="27">SUM(K11:K21)</f>
        <v>0</v>
      </c>
      <c r="L22" s="111">
        <f t="shared" ref="L22" si="28">SUM(L11:L21)</f>
        <v>0</v>
      </c>
      <c r="M22" s="111">
        <f>SUM(M18:M21)</f>
        <v>162</v>
      </c>
      <c r="N22" s="111">
        <f t="shared" ref="N22:O22" si="29">SUM(N18:N21)</f>
        <v>103</v>
      </c>
      <c r="O22" s="111">
        <f t="shared" si="29"/>
        <v>24</v>
      </c>
    </row>
    <row r="23" spans="1:15">
      <c r="A23" s="15">
        <v>2318</v>
      </c>
      <c r="B23" s="15" t="s">
        <v>68</v>
      </c>
      <c r="C23" s="15"/>
      <c r="D23" s="15"/>
      <c r="E23" s="15"/>
      <c r="F23" s="15"/>
      <c r="G23" s="15"/>
      <c r="I23" s="168" t="s">
        <v>166</v>
      </c>
      <c r="J23" s="112" t="s">
        <v>68</v>
      </c>
      <c r="K23" s="112">
        <f>K18+K13+K8+K3</f>
        <v>0</v>
      </c>
      <c r="L23" s="112">
        <f t="shared" ref="L23:O23" si="30">L18+L13+L8+L3</f>
        <v>0</v>
      </c>
      <c r="M23" s="112">
        <f t="shared" si="30"/>
        <v>1140</v>
      </c>
      <c r="N23" s="112">
        <f t="shared" si="30"/>
        <v>915</v>
      </c>
      <c r="O23" s="112">
        <f t="shared" si="30"/>
        <v>165</v>
      </c>
    </row>
    <row r="24" spans="1:15">
      <c r="A24" s="15"/>
      <c r="B24" s="15" t="s">
        <v>69</v>
      </c>
      <c r="C24" s="15"/>
      <c r="D24" s="15"/>
      <c r="E24" s="15"/>
      <c r="F24" s="15"/>
      <c r="G24" s="15"/>
      <c r="I24" s="169"/>
      <c r="J24" s="112" t="s">
        <v>69</v>
      </c>
      <c r="K24" s="112">
        <f t="shared" ref="K24:O24" si="31">K19+K14+K9+K4</f>
        <v>0</v>
      </c>
      <c r="L24" s="112">
        <f t="shared" si="31"/>
        <v>0</v>
      </c>
      <c r="M24" s="112">
        <f t="shared" si="31"/>
        <v>0</v>
      </c>
      <c r="N24" s="112">
        <f t="shared" si="31"/>
        <v>0</v>
      </c>
      <c r="O24" s="112">
        <f t="shared" si="31"/>
        <v>0</v>
      </c>
    </row>
    <row r="25" spans="1:15">
      <c r="A25" s="15"/>
      <c r="B25" s="15" t="s">
        <v>70</v>
      </c>
      <c r="C25" s="15"/>
      <c r="D25" s="15"/>
      <c r="E25" s="15"/>
      <c r="F25" s="15"/>
      <c r="G25" s="15"/>
      <c r="I25" s="169"/>
      <c r="J25" s="112" t="s">
        <v>70</v>
      </c>
      <c r="K25" s="112">
        <f t="shared" ref="K25:O25" si="32">K20+K15+K10+K5</f>
        <v>0</v>
      </c>
      <c r="L25" s="112">
        <f t="shared" si="32"/>
        <v>0</v>
      </c>
      <c r="M25" s="112">
        <f t="shared" si="32"/>
        <v>0</v>
      </c>
      <c r="N25" s="112">
        <f t="shared" si="32"/>
        <v>0</v>
      </c>
      <c r="O25" s="112">
        <f t="shared" si="32"/>
        <v>0</v>
      </c>
    </row>
    <row r="26" spans="1:15">
      <c r="A26" s="15"/>
      <c r="B26" s="15" t="s">
        <v>71</v>
      </c>
      <c r="C26" s="15"/>
      <c r="D26" s="15"/>
      <c r="E26" s="15"/>
      <c r="F26" s="15"/>
      <c r="G26" s="15"/>
      <c r="I26" s="170"/>
      <c r="J26" s="112" t="s">
        <v>71</v>
      </c>
      <c r="K26" s="112">
        <f t="shared" ref="K26:O26" si="33">K21+K16+K11+K6</f>
        <v>0</v>
      </c>
      <c r="L26" s="112">
        <f t="shared" si="33"/>
        <v>0</v>
      </c>
      <c r="M26" s="112">
        <f t="shared" si="33"/>
        <v>10</v>
      </c>
      <c r="N26" s="112">
        <f t="shared" si="33"/>
        <v>9</v>
      </c>
      <c r="O26" s="112">
        <f t="shared" si="33"/>
        <v>0</v>
      </c>
    </row>
    <row r="27" spans="1:15" s="3" customFormat="1">
      <c r="A27" s="111" t="s">
        <v>76</v>
      </c>
      <c r="B27" s="111"/>
      <c r="C27" s="111">
        <f t="shared" ref="C27" si="34">SUM(C26)</f>
        <v>0</v>
      </c>
      <c r="D27" s="111">
        <f t="shared" ref="D27" si="35">SUM(D26)</f>
        <v>0</v>
      </c>
      <c r="E27" s="111">
        <f t="shared" ref="E27" si="36">SUM(E26)</f>
        <v>0</v>
      </c>
      <c r="F27" s="111">
        <f t="shared" ref="F27" si="37">SUM(F26)</f>
        <v>0</v>
      </c>
      <c r="G27" s="111">
        <f t="shared" ref="G27" si="38">SUM(G26)</f>
        <v>0</v>
      </c>
      <c r="I27" s="41" t="s">
        <v>164</v>
      </c>
      <c r="J27" s="41"/>
      <c r="K27" s="41">
        <f>SUM(K23:K26)</f>
        <v>0</v>
      </c>
      <c r="L27" s="41">
        <f t="shared" ref="L27:O27" si="39">SUM(L23:L26)</f>
        <v>0</v>
      </c>
      <c r="M27" s="41">
        <f t="shared" si="39"/>
        <v>1150</v>
      </c>
      <c r="N27" s="41">
        <f t="shared" si="39"/>
        <v>924</v>
      </c>
      <c r="O27" s="41">
        <f t="shared" si="39"/>
        <v>165</v>
      </c>
    </row>
    <row r="28" spans="1:15">
      <c r="A28" s="15" t="s">
        <v>0</v>
      </c>
      <c r="B28" s="15" t="s">
        <v>68</v>
      </c>
      <c r="C28" s="129">
        <f t="shared" ref="C28:C32" si="40">SUM(C27)</f>
        <v>0</v>
      </c>
      <c r="D28" s="129"/>
      <c r="E28" s="129">
        <v>180</v>
      </c>
      <c r="F28" s="129">
        <v>194</v>
      </c>
      <c r="G28" s="129"/>
      <c r="I28" s="15">
        <v>3699</v>
      </c>
      <c r="J28" s="15" t="s">
        <v>68</v>
      </c>
      <c r="K28" s="15"/>
      <c r="L28" s="15"/>
      <c r="M28" s="15"/>
      <c r="N28" s="15"/>
      <c r="O28" s="15"/>
    </row>
    <row r="29" spans="1:15">
      <c r="A29" s="15"/>
      <c r="B29" s="15" t="s">
        <v>69</v>
      </c>
      <c r="C29" s="129">
        <f t="shared" si="40"/>
        <v>0</v>
      </c>
      <c r="D29" s="129"/>
      <c r="E29" s="129"/>
      <c r="F29" s="129"/>
      <c r="G29" s="129"/>
      <c r="I29" s="15"/>
      <c r="J29" s="15" t="s">
        <v>69</v>
      </c>
      <c r="K29" s="15"/>
      <c r="L29" s="15"/>
      <c r="M29" s="15"/>
      <c r="N29" s="15"/>
      <c r="O29" s="15"/>
    </row>
    <row r="30" spans="1:15">
      <c r="A30" s="15"/>
      <c r="B30" s="15" t="s">
        <v>70</v>
      </c>
      <c r="C30" s="129">
        <f t="shared" si="40"/>
        <v>0</v>
      </c>
      <c r="D30" s="129"/>
      <c r="E30" s="129"/>
      <c r="F30" s="129">
        <v>2</v>
      </c>
      <c r="G30" s="129"/>
      <c r="I30" s="15"/>
      <c r="J30" s="15" t="s">
        <v>70</v>
      </c>
      <c r="K30" s="15"/>
      <c r="L30" s="15"/>
      <c r="M30" s="15"/>
      <c r="N30" s="15"/>
      <c r="O30" s="15"/>
    </row>
    <row r="31" spans="1:15">
      <c r="A31" s="15"/>
      <c r="B31" s="15" t="s">
        <v>71</v>
      </c>
      <c r="C31" s="129">
        <f t="shared" si="40"/>
        <v>0</v>
      </c>
      <c r="D31" s="129"/>
      <c r="E31" s="129"/>
      <c r="F31" s="129"/>
      <c r="G31" s="129"/>
      <c r="I31" s="15"/>
      <c r="J31" s="15" t="s">
        <v>71</v>
      </c>
      <c r="K31" s="15"/>
      <c r="L31" s="15"/>
      <c r="M31" s="15">
        <v>2</v>
      </c>
      <c r="N31" s="15">
        <v>8</v>
      </c>
      <c r="O31" s="15"/>
    </row>
    <row r="32" spans="1:15" s="3" customFormat="1">
      <c r="A32" s="111" t="s">
        <v>77</v>
      </c>
      <c r="B32" s="111"/>
      <c r="C32" s="111">
        <f>SUM(C28:C31)</f>
        <v>0</v>
      </c>
      <c r="D32" s="111">
        <f t="shared" ref="D32:G32" si="41">SUM(D28:D31)</f>
        <v>0</v>
      </c>
      <c r="E32" s="111">
        <f t="shared" si="41"/>
        <v>180</v>
      </c>
      <c r="F32" s="111">
        <f t="shared" si="41"/>
        <v>196</v>
      </c>
      <c r="G32" s="111">
        <f t="shared" si="41"/>
        <v>0</v>
      </c>
      <c r="I32" s="111" t="s">
        <v>172</v>
      </c>
      <c r="J32" s="111"/>
      <c r="K32" s="111">
        <f t="shared" ref="K32:L32" si="42">SUM(K21:K31)</f>
        <v>0</v>
      </c>
      <c r="L32" s="111">
        <f t="shared" si="42"/>
        <v>0</v>
      </c>
      <c r="M32" s="111">
        <f>SUM(M28:M31)</f>
        <v>2</v>
      </c>
      <c r="N32" s="111">
        <f t="shared" ref="N32" si="43">SUM(N28:N31)</f>
        <v>8</v>
      </c>
      <c r="O32" s="111">
        <f t="shared" ref="O32" si="44">SUM(O28:O31)</f>
        <v>0</v>
      </c>
    </row>
    <row r="33" spans="1:7">
      <c r="A33" s="165" t="s">
        <v>165</v>
      </c>
      <c r="B33" s="113" t="s">
        <v>68</v>
      </c>
      <c r="C33" s="113">
        <f>C28+C23+C18+C13+C8+C3</f>
        <v>0</v>
      </c>
      <c r="D33" s="113">
        <f t="shared" ref="D33:G33" si="45">D28+D23+D18+D13+D8+D3</f>
        <v>0</v>
      </c>
      <c r="E33" s="113">
        <f t="shared" si="45"/>
        <v>838</v>
      </c>
      <c r="F33" s="113">
        <f t="shared" si="45"/>
        <v>921</v>
      </c>
      <c r="G33" s="113">
        <f t="shared" si="45"/>
        <v>48</v>
      </c>
    </row>
    <row r="34" spans="1:7">
      <c r="A34" s="166"/>
      <c r="B34" s="113" t="s">
        <v>69</v>
      </c>
      <c r="C34" s="113">
        <f t="shared" ref="C34:G34" si="46">C29+C24+C19+C14+C9+C4</f>
        <v>0</v>
      </c>
      <c r="D34" s="113">
        <f t="shared" si="46"/>
        <v>0</v>
      </c>
      <c r="E34" s="113">
        <f t="shared" si="46"/>
        <v>0</v>
      </c>
      <c r="F34" s="113">
        <f t="shared" si="46"/>
        <v>1</v>
      </c>
      <c r="G34" s="113">
        <f t="shared" si="46"/>
        <v>0</v>
      </c>
    </row>
    <row r="35" spans="1:7">
      <c r="A35" s="166"/>
      <c r="B35" s="113" t="s">
        <v>70</v>
      </c>
      <c r="C35" s="113">
        <f t="shared" ref="C35:G35" si="47">C30+C25+C20+C15+C10+C5</f>
        <v>0</v>
      </c>
      <c r="D35" s="113">
        <f t="shared" si="47"/>
        <v>0</v>
      </c>
      <c r="E35" s="113">
        <f t="shared" si="47"/>
        <v>0</v>
      </c>
      <c r="F35" s="113">
        <f t="shared" si="47"/>
        <v>7</v>
      </c>
      <c r="G35" s="113">
        <f t="shared" si="47"/>
        <v>0</v>
      </c>
    </row>
    <row r="36" spans="1:7">
      <c r="A36" s="167"/>
      <c r="B36" s="113" t="s">
        <v>71</v>
      </c>
      <c r="C36" s="113">
        <f t="shared" ref="C36:G36" si="48">C31+C26+C21+C16+C11+C6</f>
        <v>0</v>
      </c>
      <c r="D36" s="113">
        <f t="shared" si="48"/>
        <v>0</v>
      </c>
      <c r="E36" s="113">
        <f t="shared" si="48"/>
        <v>0</v>
      </c>
      <c r="F36" s="113">
        <f t="shared" si="48"/>
        <v>9</v>
      </c>
      <c r="G36" s="113">
        <f t="shared" si="48"/>
        <v>0</v>
      </c>
    </row>
    <row r="37" spans="1:7">
      <c r="A37" s="113" t="s">
        <v>167</v>
      </c>
      <c r="B37" s="113"/>
      <c r="C37" s="113">
        <f>SUM(C33:C36)</f>
        <v>0</v>
      </c>
      <c r="D37" s="113">
        <f t="shared" ref="D37:G37" si="49">SUM(D33:D36)</f>
        <v>0</v>
      </c>
      <c r="E37" s="113">
        <f t="shared" si="49"/>
        <v>838</v>
      </c>
      <c r="F37" s="113">
        <f t="shared" si="49"/>
        <v>938</v>
      </c>
      <c r="G37" s="113">
        <f t="shared" si="49"/>
        <v>48</v>
      </c>
    </row>
    <row r="38" spans="1:7">
      <c r="A38" s="15">
        <v>4001</v>
      </c>
      <c r="B38" s="15" t="s">
        <v>68</v>
      </c>
      <c r="C38" s="15"/>
      <c r="D38" s="15"/>
      <c r="E38" s="15"/>
      <c r="F38" s="15"/>
      <c r="G38" s="15"/>
    </row>
    <row r="39" spans="1:7">
      <c r="A39" s="15"/>
      <c r="B39" s="15" t="s">
        <v>69</v>
      </c>
      <c r="C39" s="15"/>
      <c r="D39" s="15"/>
      <c r="E39" s="15"/>
      <c r="F39" s="15"/>
      <c r="G39" s="15"/>
    </row>
    <row r="40" spans="1:7">
      <c r="A40" s="15"/>
      <c r="B40" s="15" t="s">
        <v>70</v>
      </c>
      <c r="C40" s="15"/>
      <c r="D40" s="15"/>
      <c r="E40" s="15"/>
      <c r="F40" s="15"/>
      <c r="G40" s="15"/>
    </row>
    <row r="41" spans="1:7">
      <c r="A41" s="15"/>
      <c r="B41" s="15" t="s">
        <v>71</v>
      </c>
      <c r="C41" s="15"/>
      <c r="D41" s="15"/>
      <c r="E41" s="15"/>
      <c r="F41" s="15"/>
      <c r="G41" s="15"/>
    </row>
    <row r="42" spans="1:7">
      <c r="A42" s="111" t="s">
        <v>161</v>
      </c>
      <c r="B42" s="111"/>
      <c r="C42" s="111">
        <f t="shared" ref="C42" si="50">SUM(A42:B42)</f>
        <v>0</v>
      </c>
      <c r="D42" s="111">
        <f t="shared" ref="D42" si="51">SUM(B42:C42)</f>
        <v>0</v>
      </c>
      <c r="E42" s="111">
        <f t="shared" ref="E42" si="52">SUM(C42:D42)</f>
        <v>0</v>
      </c>
      <c r="F42" s="111">
        <f t="shared" ref="F42" si="53">SUM(D42:E42)</f>
        <v>0</v>
      </c>
      <c r="G42" s="111">
        <f t="shared" ref="G42" si="54">SUM(E42:F42)</f>
        <v>0</v>
      </c>
    </row>
    <row r="43" spans="1:7">
      <c r="A43" s="15">
        <v>4226</v>
      </c>
      <c r="B43" s="15" t="s">
        <v>68</v>
      </c>
      <c r="C43" s="15"/>
      <c r="D43" s="15"/>
      <c r="E43" s="15"/>
      <c r="F43" s="15"/>
      <c r="G43" s="15"/>
    </row>
    <row r="44" spans="1:7">
      <c r="A44" s="15"/>
      <c r="B44" s="15" t="s">
        <v>69</v>
      </c>
      <c r="C44" s="15"/>
      <c r="D44" s="15"/>
      <c r="E44" s="15"/>
      <c r="F44" s="15"/>
      <c r="G44" s="15"/>
    </row>
    <row r="45" spans="1:7">
      <c r="A45" s="15"/>
      <c r="B45" s="15" t="s">
        <v>70</v>
      </c>
      <c r="C45" s="15"/>
      <c r="D45" s="15"/>
      <c r="E45" s="15"/>
      <c r="F45" s="15"/>
      <c r="G45" s="15"/>
    </row>
    <row r="46" spans="1:7">
      <c r="A46" s="15"/>
      <c r="B46" s="15" t="s">
        <v>71</v>
      </c>
      <c r="C46" s="15"/>
      <c r="D46" s="15"/>
      <c r="E46" s="15"/>
      <c r="F46" s="15"/>
      <c r="G46" s="15"/>
    </row>
    <row r="47" spans="1:7">
      <c r="A47" s="111" t="s">
        <v>162</v>
      </c>
      <c r="B47" s="111"/>
      <c r="C47" s="111">
        <f t="shared" ref="C47" si="55">SUM(C43:C46)</f>
        <v>0</v>
      </c>
      <c r="D47" s="111">
        <f t="shared" ref="D47" si="56">SUM(D43:D46)</f>
        <v>0</v>
      </c>
      <c r="E47" s="111">
        <f t="shared" ref="E47" si="57">SUM(E43:E46)</f>
        <v>0</v>
      </c>
      <c r="F47" s="111">
        <f t="shared" ref="F47" si="58">SUM(F43:F46)</f>
        <v>0</v>
      </c>
      <c r="G47" s="111">
        <f t="shared" ref="G47" si="59">SUM(G43:G46)</f>
        <v>0</v>
      </c>
    </row>
    <row r="48" spans="1:7">
      <c r="A48" s="15">
        <v>4343</v>
      </c>
      <c r="B48" s="15" t="s">
        <v>68</v>
      </c>
      <c r="C48" s="129">
        <v>135</v>
      </c>
      <c r="D48" s="129"/>
      <c r="E48" s="129">
        <v>104</v>
      </c>
      <c r="F48" s="129"/>
      <c r="G48" s="129"/>
    </row>
    <row r="49" spans="1:7">
      <c r="A49" s="15"/>
      <c r="B49" s="15" t="s">
        <v>69</v>
      </c>
      <c r="C49" s="129"/>
      <c r="D49" s="129"/>
      <c r="E49" s="129"/>
      <c r="F49" s="129"/>
      <c r="G49" s="129"/>
    </row>
    <row r="50" spans="1:7">
      <c r="A50" s="15"/>
      <c r="B50" s="15" t="s">
        <v>70</v>
      </c>
      <c r="C50" s="129"/>
      <c r="D50" s="129"/>
      <c r="E50" s="129"/>
      <c r="F50" s="129"/>
      <c r="G50" s="129"/>
    </row>
    <row r="51" spans="1:7">
      <c r="A51" s="15"/>
      <c r="B51" s="15" t="s">
        <v>71</v>
      </c>
      <c r="C51" s="129"/>
      <c r="D51" s="129"/>
      <c r="E51" s="129"/>
      <c r="F51" s="129"/>
      <c r="G51" s="129"/>
    </row>
    <row r="52" spans="1:7">
      <c r="A52" s="111" t="s">
        <v>163</v>
      </c>
      <c r="B52" s="111"/>
      <c r="C52" s="111">
        <f t="shared" ref="C52" si="60">SUM(C48:C51)</f>
        <v>135</v>
      </c>
      <c r="D52" s="111">
        <f t="shared" ref="D52" si="61">SUM(D48:D51)</f>
        <v>0</v>
      </c>
      <c r="E52" s="111">
        <f t="shared" ref="E52" si="62">SUM(E48:E51)</f>
        <v>104</v>
      </c>
      <c r="F52" s="111">
        <f t="shared" ref="F52" si="63">SUM(F48:F51)</f>
        <v>0</v>
      </c>
      <c r="G52" s="111">
        <f t="shared" ref="G52" si="64">SUM(G48:G51)</f>
        <v>0</v>
      </c>
    </row>
    <row r="53" spans="1:7">
      <c r="A53" s="168" t="s">
        <v>168</v>
      </c>
      <c r="B53" s="112" t="s">
        <v>68</v>
      </c>
      <c r="C53" s="113">
        <f>C48+C43</f>
        <v>135</v>
      </c>
      <c r="D53" s="113">
        <f t="shared" ref="D53:G53" si="65">D48+D43</f>
        <v>0</v>
      </c>
      <c r="E53" s="113">
        <f t="shared" si="65"/>
        <v>104</v>
      </c>
      <c r="F53" s="113">
        <f t="shared" si="65"/>
        <v>0</v>
      </c>
      <c r="G53" s="113">
        <f t="shared" si="65"/>
        <v>0</v>
      </c>
    </row>
    <row r="54" spans="1:7">
      <c r="A54" s="169"/>
      <c r="B54" s="112" t="s">
        <v>69</v>
      </c>
      <c r="C54" s="113">
        <f t="shared" ref="C54:G56" si="66">C49+C44</f>
        <v>0</v>
      </c>
      <c r="D54" s="113">
        <f t="shared" si="66"/>
        <v>0</v>
      </c>
      <c r="E54" s="113">
        <f t="shared" si="66"/>
        <v>0</v>
      </c>
      <c r="F54" s="113">
        <f t="shared" si="66"/>
        <v>0</v>
      </c>
      <c r="G54" s="113">
        <f t="shared" si="66"/>
        <v>0</v>
      </c>
    </row>
    <row r="55" spans="1:7">
      <c r="A55" s="169"/>
      <c r="B55" s="112" t="s">
        <v>70</v>
      </c>
      <c r="C55" s="113">
        <f t="shared" si="66"/>
        <v>0</v>
      </c>
      <c r="D55" s="113">
        <f t="shared" si="66"/>
        <v>0</v>
      </c>
      <c r="E55" s="113">
        <f t="shared" si="66"/>
        <v>0</v>
      </c>
      <c r="F55" s="113">
        <f t="shared" si="66"/>
        <v>0</v>
      </c>
      <c r="G55" s="113">
        <f t="shared" si="66"/>
        <v>0</v>
      </c>
    </row>
    <row r="56" spans="1:7">
      <c r="A56" s="170"/>
      <c r="B56" s="112" t="s">
        <v>71</v>
      </c>
      <c r="C56" s="113">
        <f t="shared" si="66"/>
        <v>0</v>
      </c>
      <c r="D56" s="113">
        <f t="shared" si="66"/>
        <v>0</v>
      </c>
      <c r="E56" s="113">
        <f t="shared" si="66"/>
        <v>0</v>
      </c>
      <c r="F56" s="113">
        <f t="shared" si="66"/>
        <v>0</v>
      </c>
      <c r="G56" s="113">
        <f t="shared" si="66"/>
        <v>0</v>
      </c>
    </row>
    <row r="57" spans="1:7">
      <c r="A57" s="41" t="s">
        <v>163</v>
      </c>
      <c r="B57" s="41"/>
      <c r="C57" s="41">
        <f t="shared" ref="C57:D57" si="67">SUM(C53:C56)</f>
        <v>135</v>
      </c>
      <c r="D57" s="41">
        <f t="shared" si="67"/>
        <v>0</v>
      </c>
      <c r="E57" s="41">
        <f t="shared" ref="E57" si="68">SUM(E53:E56)</f>
        <v>104</v>
      </c>
      <c r="F57" s="41">
        <f t="shared" ref="F57" si="69">SUM(F53:F56)</f>
        <v>0</v>
      </c>
      <c r="G57" s="41">
        <f t="shared" ref="G57" si="70">SUM(G53:G56)</f>
        <v>0</v>
      </c>
    </row>
  </sheetData>
  <mergeCells count="5">
    <mergeCell ref="A33:A36"/>
    <mergeCell ref="A53:A56"/>
    <mergeCell ref="A1:G1"/>
    <mergeCell ref="I1:O1"/>
    <mergeCell ref="I23:I2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14"/>
  <sheetViews>
    <sheetView workbookViewId="0">
      <selection activeCell="H6" sqref="H6:H8"/>
    </sheetView>
  </sheetViews>
  <sheetFormatPr defaultRowHeight="14.5"/>
  <cols>
    <col min="9" max="9" width="15" customWidth="1"/>
  </cols>
  <sheetData>
    <row r="2" spans="1:9" ht="43.5">
      <c r="A2" s="49" t="s">
        <v>61</v>
      </c>
      <c r="B2" s="49" t="s">
        <v>60</v>
      </c>
      <c r="C2" s="49" t="s">
        <v>16</v>
      </c>
      <c r="D2" s="50" t="s">
        <v>83</v>
      </c>
      <c r="E2" s="51" t="s">
        <v>84</v>
      </c>
      <c r="F2" s="51" t="s">
        <v>82</v>
      </c>
      <c r="G2" s="51" t="s">
        <v>85</v>
      </c>
      <c r="H2" s="51" t="s">
        <v>86</v>
      </c>
      <c r="I2" s="51" t="s">
        <v>87</v>
      </c>
    </row>
    <row r="3" spans="1:9">
      <c r="A3" s="4" t="s">
        <v>49</v>
      </c>
      <c r="B3" s="45"/>
      <c r="C3" s="45" t="s">
        <v>5</v>
      </c>
      <c r="D3" s="46">
        <v>30190</v>
      </c>
      <c r="E3" s="47">
        <v>30</v>
      </c>
      <c r="F3" s="47">
        <v>30</v>
      </c>
      <c r="G3" s="48" t="s">
        <v>173</v>
      </c>
      <c r="H3" s="119">
        <v>22</v>
      </c>
      <c r="I3" s="47"/>
    </row>
    <row r="4" spans="1:9">
      <c r="A4" s="4"/>
      <c r="B4" s="45"/>
      <c r="C4" s="45" t="s">
        <v>5</v>
      </c>
      <c r="D4" s="46">
        <v>32583</v>
      </c>
      <c r="E4" s="47">
        <v>20</v>
      </c>
      <c r="F4" s="47">
        <v>20</v>
      </c>
      <c r="G4" s="48" t="s">
        <v>173</v>
      </c>
      <c r="H4" s="119">
        <v>13</v>
      </c>
      <c r="I4" s="47"/>
    </row>
    <row r="5" spans="1:9">
      <c r="A5" s="4"/>
      <c r="B5" s="45"/>
      <c r="C5" s="45" t="s">
        <v>5</v>
      </c>
      <c r="D5" s="46">
        <v>30138</v>
      </c>
      <c r="E5" s="47">
        <v>15</v>
      </c>
      <c r="F5" s="47">
        <v>15</v>
      </c>
      <c r="G5" s="48" t="s">
        <v>173</v>
      </c>
      <c r="H5" s="119">
        <v>9</v>
      </c>
      <c r="I5" s="47"/>
    </row>
    <row r="6" spans="1:9">
      <c r="A6" s="4"/>
      <c r="B6" s="4"/>
      <c r="C6" s="4" t="s">
        <v>50</v>
      </c>
      <c r="D6" s="4" t="s">
        <v>174</v>
      </c>
      <c r="E6" s="4">
        <v>40</v>
      </c>
      <c r="F6" s="4">
        <v>30</v>
      </c>
      <c r="G6" s="48" t="s">
        <v>173</v>
      </c>
      <c r="H6" s="4">
        <v>30</v>
      </c>
      <c r="I6" s="4"/>
    </row>
    <row r="7" spans="1:9">
      <c r="A7" s="4"/>
      <c r="B7" s="4"/>
      <c r="C7" s="4" t="s">
        <v>50</v>
      </c>
      <c r="D7" s="4">
        <v>29083</v>
      </c>
      <c r="E7" s="4">
        <v>15</v>
      </c>
      <c r="F7" s="4">
        <v>12</v>
      </c>
      <c r="G7" s="48" t="s">
        <v>173</v>
      </c>
      <c r="H7" s="4">
        <v>12</v>
      </c>
      <c r="I7" s="4"/>
    </row>
    <row r="8" spans="1:9">
      <c r="A8" s="4"/>
      <c r="B8" s="4"/>
      <c r="C8" s="4" t="s">
        <v>50</v>
      </c>
      <c r="D8" s="4">
        <v>22108</v>
      </c>
      <c r="E8" s="4">
        <v>20</v>
      </c>
      <c r="F8" s="4">
        <v>15</v>
      </c>
      <c r="G8" s="48" t="s">
        <v>173</v>
      </c>
      <c r="H8" s="4">
        <v>15</v>
      </c>
      <c r="I8" s="4"/>
    </row>
    <row r="9" spans="1:9">
      <c r="A9" s="4"/>
      <c r="B9" s="4"/>
      <c r="C9" s="4"/>
      <c r="D9" s="4"/>
      <c r="E9" s="4"/>
      <c r="F9" s="4"/>
      <c r="G9" s="48"/>
      <c r="H9" s="4"/>
      <c r="I9" s="4"/>
    </row>
    <row r="10" spans="1:9">
      <c r="A10" s="130" t="s">
        <v>179</v>
      </c>
      <c r="B10" s="138" t="s">
        <v>111</v>
      </c>
      <c r="C10" s="131" t="s">
        <v>18</v>
      </c>
      <c r="D10" s="139">
        <v>22033</v>
      </c>
      <c r="E10" s="140">
        <v>6</v>
      </c>
      <c r="F10" s="141"/>
      <c r="G10" s="48"/>
      <c r="H10" s="4"/>
      <c r="I10" s="4"/>
    </row>
    <row r="11" spans="1:9">
      <c r="A11" s="130"/>
      <c r="B11" s="138"/>
      <c r="C11" s="130"/>
      <c r="D11" s="139" t="s">
        <v>180</v>
      </c>
      <c r="E11" s="140">
        <v>4</v>
      </c>
      <c r="F11" s="141"/>
      <c r="G11" s="48"/>
      <c r="H11" s="4"/>
      <c r="I11" s="4"/>
    </row>
    <row r="12" spans="1:9">
      <c r="A12" s="130"/>
      <c r="B12" s="138"/>
      <c r="C12" t="s">
        <v>5</v>
      </c>
      <c r="D12" s="130">
        <v>30190</v>
      </c>
      <c r="E12" s="130">
        <v>32</v>
      </c>
      <c r="F12" s="130">
        <v>13</v>
      </c>
      <c r="G12" s="4"/>
      <c r="H12" s="4"/>
      <c r="I12" s="4"/>
    </row>
    <row r="13" spans="1:9">
      <c r="A13" s="130"/>
      <c r="B13" s="130"/>
      <c r="C13" t="s">
        <v>5</v>
      </c>
      <c r="D13" s="130">
        <v>32583</v>
      </c>
      <c r="E13" s="130">
        <v>88</v>
      </c>
      <c r="F13" s="130">
        <v>28</v>
      </c>
      <c r="G13" s="4"/>
      <c r="H13" s="4"/>
      <c r="I13" s="4"/>
    </row>
    <row r="14" spans="1:9">
      <c r="A14" s="130"/>
      <c r="B14" s="130"/>
      <c r="C14" t="s">
        <v>5</v>
      </c>
      <c r="D14" s="130">
        <v>30138</v>
      </c>
      <c r="E14" s="130">
        <v>10</v>
      </c>
      <c r="F14" s="130">
        <v>8</v>
      </c>
    </row>
  </sheetData>
  <dataValidations count="1">
    <dataValidation type="list" allowBlank="1" showInputMessage="1" showErrorMessage="1" sqref="G3:G11" xr:uid="{00000000-0002-0000-0600-000000000000}">
      <formula1>"Harvested, Standing"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O17"/>
  <sheetViews>
    <sheetView workbookViewId="0">
      <selection activeCell="E8" sqref="E8"/>
    </sheetView>
  </sheetViews>
  <sheetFormatPr defaultRowHeight="14.5"/>
  <cols>
    <col min="2" max="2" width="12.81640625" bestFit="1" customWidth="1"/>
    <col min="3" max="3" width="10.1796875" style="2" bestFit="1" customWidth="1"/>
    <col min="4" max="4" width="10.81640625" style="2" bestFit="1" customWidth="1"/>
    <col min="5" max="5" width="17.81640625" style="2" bestFit="1" customWidth="1"/>
    <col min="7" max="7" width="20.26953125" style="2" customWidth="1"/>
  </cols>
  <sheetData>
    <row r="2" spans="2:15">
      <c r="B2" s="82" t="s">
        <v>102</v>
      </c>
      <c r="C2" s="89" t="s">
        <v>103</v>
      </c>
      <c r="D2" s="89" t="s">
        <v>104</v>
      </c>
      <c r="E2" s="89" t="s">
        <v>105</v>
      </c>
      <c r="G2" s="41" t="s">
        <v>123</v>
      </c>
      <c r="O2" s="4"/>
    </row>
    <row r="3" spans="2:15">
      <c r="B3" s="130" t="s">
        <v>111</v>
      </c>
      <c r="C3" s="142">
        <v>594.15</v>
      </c>
      <c r="D3" s="130">
        <v>565</v>
      </c>
      <c r="E3" s="90">
        <f t="shared" ref="E3" si="0">D3/C3*100</f>
        <v>95.093831524025916</v>
      </c>
      <c r="G3" s="129">
        <v>7</v>
      </c>
    </row>
    <row r="4" spans="2:15">
      <c r="B4" s="130" t="s">
        <v>107</v>
      </c>
      <c r="C4" s="144">
        <v>229.5</v>
      </c>
      <c r="D4" s="145">
        <v>176.8</v>
      </c>
      <c r="E4" s="90">
        <f t="shared" ref="E4:E17" si="1">D4/C4*100</f>
        <v>77.037037037037038</v>
      </c>
      <c r="G4" s="129">
        <v>4</v>
      </c>
    </row>
    <row r="5" spans="2:15">
      <c r="B5" s="130" t="s">
        <v>108</v>
      </c>
      <c r="C5" s="144">
        <v>515.1</v>
      </c>
      <c r="D5" s="145">
        <v>577</v>
      </c>
      <c r="E5" s="90">
        <f t="shared" si="1"/>
        <v>112.01708406134732</v>
      </c>
      <c r="G5" s="129">
        <v>6</v>
      </c>
    </row>
    <row r="6" spans="2:15">
      <c r="B6" s="130" t="s">
        <v>109</v>
      </c>
      <c r="C6" s="142">
        <v>192</v>
      </c>
      <c r="D6" s="130">
        <v>176</v>
      </c>
      <c r="E6" s="90">
        <f t="shared" si="1"/>
        <v>91.666666666666657</v>
      </c>
      <c r="G6" s="129">
        <v>2</v>
      </c>
    </row>
    <row r="7" spans="2:15">
      <c r="B7" s="130" t="s">
        <v>110</v>
      </c>
      <c r="C7" s="146">
        <v>288.89999999999998</v>
      </c>
      <c r="D7" s="143">
        <v>151.1</v>
      </c>
      <c r="E7" s="90">
        <f t="shared" si="1"/>
        <v>52.301834544825198</v>
      </c>
      <c r="G7" s="129">
        <v>7</v>
      </c>
    </row>
    <row r="8" spans="2:15">
      <c r="B8" s="130" t="s">
        <v>106</v>
      </c>
      <c r="C8" s="142">
        <v>286.3</v>
      </c>
      <c r="D8" s="143">
        <v>146.07</v>
      </c>
      <c r="E8" s="90">
        <f>D8/C8*100</f>
        <v>51.019909186168356</v>
      </c>
      <c r="G8" s="129">
        <v>7</v>
      </c>
    </row>
    <row r="9" spans="2:15">
      <c r="B9" s="6" t="s">
        <v>48</v>
      </c>
      <c r="C9" s="41">
        <f>SUM(C4:C8)</f>
        <v>1511.8</v>
      </c>
      <c r="D9" s="41">
        <f>SUM(D4:D8)</f>
        <v>1226.9699999999998</v>
      </c>
      <c r="E9" s="97">
        <f t="shared" si="1"/>
        <v>81.159544913348313</v>
      </c>
      <c r="G9" s="41">
        <f>SUM(G4:G8)</f>
        <v>26</v>
      </c>
    </row>
    <row r="10" spans="2:15">
      <c r="B10" s="93" t="s">
        <v>80</v>
      </c>
      <c r="C10" s="95">
        <v>115.4</v>
      </c>
      <c r="D10" s="95">
        <v>59.3</v>
      </c>
      <c r="E10" s="90">
        <f t="shared" si="1"/>
        <v>51.386481802426346</v>
      </c>
      <c r="G10" s="15">
        <v>3</v>
      </c>
    </row>
    <row r="11" spans="2:15">
      <c r="B11" s="93" t="s">
        <v>78</v>
      </c>
      <c r="C11" s="95">
        <v>296.5</v>
      </c>
      <c r="D11" s="95">
        <v>268.3</v>
      </c>
      <c r="E11" s="90">
        <f t="shared" si="1"/>
        <v>90.489038785834737</v>
      </c>
      <c r="G11" s="15">
        <v>7</v>
      </c>
    </row>
    <row r="12" spans="2:15">
      <c r="B12" s="93" t="s">
        <v>79</v>
      </c>
      <c r="C12" s="95">
        <v>150.19999999999999</v>
      </c>
      <c r="D12" s="95">
        <v>83.5</v>
      </c>
      <c r="E12" s="90">
        <f t="shared" si="1"/>
        <v>55.592543275632487</v>
      </c>
      <c r="G12" s="15">
        <v>3</v>
      </c>
    </row>
    <row r="13" spans="2:15">
      <c r="B13" s="93" t="s">
        <v>81</v>
      </c>
      <c r="C13" s="95">
        <v>102.8</v>
      </c>
      <c r="D13" s="95">
        <v>47.2</v>
      </c>
      <c r="E13" s="90">
        <f t="shared" si="1"/>
        <v>45.914396887159533</v>
      </c>
      <c r="G13" s="15">
        <v>3</v>
      </c>
    </row>
    <row r="14" spans="2:15">
      <c r="B14" s="93" t="s">
        <v>175</v>
      </c>
      <c r="C14" s="95">
        <v>23.3</v>
      </c>
      <c r="D14" s="95">
        <v>22.7</v>
      </c>
      <c r="E14" s="90">
        <f t="shared" si="1"/>
        <v>97.424892703862653</v>
      </c>
      <c r="G14" s="15">
        <v>1</v>
      </c>
    </row>
    <row r="15" spans="2:15">
      <c r="B15" s="93" t="s">
        <v>49</v>
      </c>
      <c r="C15" s="95">
        <v>250.9</v>
      </c>
      <c r="D15" s="95">
        <v>195.1</v>
      </c>
      <c r="E15" s="90">
        <f t="shared" si="1"/>
        <v>77.760063770426456</v>
      </c>
      <c r="G15" s="15">
        <v>6</v>
      </c>
    </row>
    <row r="16" spans="2:15">
      <c r="B16" s="6" t="s">
        <v>49</v>
      </c>
      <c r="C16" s="41">
        <f>SUM(C10:C15)</f>
        <v>939.0999999999998</v>
      </c>
      <c r="D16" s="41">
        <f t="shared" ref="D16" si="2">SUM(D10:D15)</f>
        <v>676.1</v>
      </c>
      <c r="E16" s="96">
        <f t="shared" si="1"/>
        <v>71.994462783516155</v>
      </c>
      <c r="G16" s="109">
        <f>SUM(G10:G15)</f>
        <v>23</v>
      </c>
    </row>
    <row r="17" spans="2:7">
      <c r="B17" s="7" t="s">
        <v>115</v>
      </c>
      <c r="C17" s="5">
        <f>C9+C16</f>
        <v>2450.8999999999996</v>
      </c>
      <c r="D17" s="5">
        <f t="shared" ref="D17" si="3">D9+D16</f>
        <v>1903.0699999999997</v>
      </c>
      <c r="E17" s="16">
        <f t="shared" si="1"/>
        <v>77.647802847933406</v>
      </c>
      <c r="G17" s="5">
        <f t="shared" ref="G17" si="4">G9+G16</f>
        <v>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12"/>
  <sheetViews>
    <sheetView workbookViewId="0">
      <selection activeCell="D3" sqref="D3"/>
    </sheetView>
  </sheetViews>
  <sheetFormatPr defaultRowHeight="14.5"/>
  <cols>
    <col min="2" max="2" width="23.81640625" bestFit="1" customWidth="1"/>
    <col min="3" max="3" width="12.81640625" bestFit="1" customWidth="1"/>
    <col min="4" max="4" width="9.81640625" bestFit="1" customWidth="1"/>
    <col min="5" max="5" width="11.54296875" bestFit="1" customWidth="1"/>
    <col min="6" max="6" width="10.453125" bestFit="1" customWidth="1"/>
    <col min="7" max="7" width="9.54296875" bestFit="1" customWidth="1"/>
    <col min="8" max="8" width="15.26953125" style="2" bestFit="1" customWidth="1"/>
  </cols>
  <sheetData>
    <row r="2" spans="1:8">
      <c r="A2" s="108" t="s">
        <v>61</v>
      </c>
      <c r="B2" s="5" t="s">
        <v>131</v>
      </c>
      <c r="C2" s="5" t="s">
        <v>124</v>
      </c>
      <c r="D2" s="5" t="s">
        <v>127</v>
      </c>
      <c r="E2" s="5" t="s">
        <v>128</v>
      </c>
      <c r="F2" s="5" t="s">
        <v>129</v>
      </c>
      <c r="G2" s="5" t="s">
        <v>130</v>
      </c>
      <c r="H2" s="5" t="s">
        <v>139</v>
      </c>
    </row>
    <row r="3" spans="1:8">
      <c r="A3" s="163" t="s">
        <v>49</v>
      </c>
      <c r="B3" s="4" t="s">
        <v>125</v>
      </c>
      <c r="C3" s="4" t="s">
        <v>78</v>
      </c>
      <c r="D3" s="15">
        <v>630</v>
      </c>
      <c r="E3" s="15" t="s">
        <v>126</v>
      </c>
      <c r="F3" s="14"/>
      <c r="G3" s="14"/>
      <c r="H3" s="15"/>
    </row>
    <row r="4" spans="1:8">
      <c r="A4" s="163"/>
      <c r="B4" s="4" t="s">
        <v>136</v>
      </c>
      <c r="C4" s="4" t="s">
        <v>80</v>
      </c>
      <c r="D4" s="15">
        <v>989</v>
      </c>
      <c r="E4" s="15" t="s">
        <v>137</v>
      </c>
      <c r="F4" s="14"/>
      <c r="G4" s="14"/>
      <c r="H4" s="15"/>
    </row>
    <row r="5" spans="1:8">
      <c r="A5" s="163"/>
      <c r="B5" s="4" t="s">
        <v>138</v>
      </c>
      <c r="C5" s="4" t="s">
        <v>49</v>
      </c>
      <c r="D5" s="15">
        <v>990</v>
      </c>
      <c r="E5" s="15" t="s">
        <v>137</v>
      </c>
      <c r="F5" s="14"/>
      <c r="G5" s="14"/>
      <c r="H5" s="15"/>
    </row>
    <row r="6" spans="1:8">
      <c r="A6" s="163"/>
      <c r="B6" s="4" t="s">
        <v>140</v>
      </c>
      <c r="C6" s="4" t="s">
        <v>79</v>
      </c>
      <c r="D6" s="15">
        <v>1007</v>
      </c>
      <c r="E6" s="15" t="s">
        <v>137</v>
      </c>
      <c r="F6" s="14"/>
      <c r="G6" s="14"/>
      <c r="H6" s="15"/>
    </row>
    <row r="7" spans="1:8">
      <c r="A7" s="163"/>
      <c r="B7" s="4" t="s">
        <v>145</v>
      </c>
      <c r="C7" s="4" t="s">
        <v>81</v>
      </c>
      <c r="D7" s="15">
        <v>1223</v>
      </c>
      <c r="E7" s="15" t="s">
        <v>146</v>
      </c>
      <c r="F7" s="14"/>
      <c r="G7" s="14"/>
      <c r="H7" s="15"/>
    </row>
    <row r="8" spans="1:8">
      <c r="A8" s="163" t="s">
        <v>147</v>
      </c>
      <c r="B8" s="4" t="s">
        <v>132</v>
      </c>
      <c r="C8" s="4" t="s">
        <v>109</v>
      </c>
      <c r="D8" s="15">
        <v>629</v>
      </c>
      <c r="E8" s="15" t="s">
        <v>133</v>
      </c>
      <c r="F8" s="14"/>
      <c r="G8" s="14"/>
      <c r="H8" s="15"/>
    </row>
    <row r="9" spans="1:8">
      <c r="A9" s="163"/>
      <c r="B9" s="4" t="s">
        <v>134</v>
      </c>
      <c r="C9" s="4" t="s">
        <v>107</v>
      </c>
      <c r="D9" s="15">
        <v>678</v>
      </c>
      <c r="E9" s="15" t="s">
        <v>133</v>
      </c>
      <c r="F9" s="14"/>
      <c r="G9" s="14"/>
      <c r="H9" s="15"/>
    </row>
    <row r="10" spans="1:8">
      <c r="A10" s="163"/>
      <c r="B10" s="4" t="s">
        <v>135</v>
      </c>
      <c r="C10" s="4" t="s">
        <v>110</v>
      </c>
      <c r="D10" s="15">
        <v>736</v>
      </c>
      <c r="E10" s="15" t="s">
        <v>133</v>
      </c>
      <c r="F10" s="14"/>
      <c r="G10" s="14"/>
      <c r="H10" s="15"/>
    </row>
    <row r="11" spans="1:8">
      <c r="A11" s="163"/>
      <c r="B11" s="4" t="s">
        <v>141</v>
      </c>
      <c r="C11" s="4" t="s">
        <v>142</v>
      </c>
      <c r="D11" s="15">
        <v>1015</v>
      </c>
      <c r="E11" s="15" t="s">
        <v>133</v>
      </c>
      <c r="F11" s="14"/>
      <c r="G11" s="14"/>
      <c r="H11" s="15"/>
    </row>
    <row r="12" spans="1:8">
      <c r="A12" s="163"/>
      <c r="B12" s="4" t="s">
        <v>143</v>
      </c>
      <c r="C12" s="4" t="s">
        <v>111</v>
      </c>
      <c r="D12" s="15">
        <v>1190</v>
      </c>
      <c r="E12" s="15" t="s">
        <v>144</v>
      </c>
      <c r="F12" s="14"/>
      <c r="G12" s="14"/>
      <c r="H12" s="15"/>
    </row>
  </sheetData>
  <mergeCells count="2">
    <mergeCell ref="A3:A7"/>
    <mergeCell ref="A8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Net Sale</vt:lpstr>
      <vt:lpstr>Collection</vt:lpstr>
      <vt:lpstr>NRV &amp; Profitability</vt:lpstr>
      <vt:lpstr>Forecast</vt:lpstr>
      <vt:lpstr>Unnati</vt:lpstr>
      <vt:lpstr>MDAs</vt:lpstr>
      <vt:lpstr>OFD</vt:lpstr>
      <vt:lpstr>Leadership</vt:lpstr>
      <vt:lpstr>Team KRA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2024-01-08T17:01:35Z</dcterms:modified>
</cp:coreProperties>
</file>